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defaultThemeVersion="166925"/>
  <mc:AlternateContent xmlns:mc="http://schemas.openxmlformats.org/markup-compatibility/2006">
    <mc:Choice Requires="x15">
      <x15ac:absPath xmlns:x15ac="http://schemas.microsoft.com/office/spreadsheetml/2010/11/ac" url="Z:\PIO\Daria\Child-Poverty\2024-11-19\"/>
    </mc:Choice>
  </mc:AlternateContent>
  <xr:revisionPtr revIDLastSave="0" documentId="8_{80EFE59D-CCB7-4F97-BFFB-2A643AF7FE8C}" xr6:coauthVersionLast="47" xr6:coauthVersionMax="47" xr10:uidLastSave="{00000000-0000-0000-0000-000000000000}"/>
  <bookViews>
    <workbookView xWindow="-24120" yWindow="-120" windowWidth="24240" windowHeight="13140" tabRatio="888" xr2:uid="{068841F0-A798-4FDA-AE91-01EB2B1CBF50}"/>
  </bookViews>
  <sheets>
    <sheet name="0. Overview" sheetId="13" r:id="rId1"/>
    <sheet name="1. SPM Summary" sheetId="10" r:id="rId2"/>
    <sheet name="2. Poverty_Individuals_No" sheetId="1" r:id="rId3"/>
    <sheet name="3. Individuals Race" sheetId="12" r:id="rId4"/>
    <sheet name="4. Poverty_Families_No" sheetId="7" r:id="rId5"/>
    <sheet name="5. Household Resources" sheetId="2" r:id="rId6"/>
    <sheet name="7. Program Summary" sheetId="11" r:id="rId7"/>
    <sheet name="8. Costs" sheetId="5" r:id="rId8"/>
  </sheets>
  <externalReferences>
    <externalReference r:id="rId9"/>
    <externalReference r:id="rId10"/>
    <externalReference r:id="rId11"/>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5" l="1"/>
  <c r="K9" i="5"/>
  <c r="B49" i="11"/>
  <c r="B64" i="11"/>
  <c r="B10" i="5"/>
  <c r="J10" i="5"/>
  <c r="O47" i="7"/>
  <c r="O46" i="7"/>
  <c r="O45" i="7"/>
  <c r="O44" i="7"/>
  <c r="O42" i="7"/>
  <c r="O41" i="7"/>
  <c r="O40" i="7"/>
  <c r="O39" i="7"/>
  <c r="O36" i="7"/>
  <c r="O35" i="7"/>
  <c r="O34" i="7"/>
  <c r="O33" i="7"/>
  <c r="O31" i="7"/>
  <c r="O30" i="7"/>
  <c r="O29" i="7"/>
  <c r="O28" i="7"/>
  <c r="O25" i="7"/>
  <c r="O24" i="7"/>
  <c r="O23" i="7"/>
  <c r="O22" i="7"/>
  <c r="O19" i="7"/>
  <c r="O18" i="7"/>
  <c r="O17" i="7"/>
  <c r="O16" i="7"/>
  <c r="O13" i="7"/>
  <c r="O12" i="7"/>
  <c r="O11" i="7"/>
  <c r="O10" i="7"/>
  <c r="B10" i="11"/>
  <c r="B14" i="11"/>
  <c r="B18" i="11"/>
  <c r="B22" i="11"/>
  <c r="E22" i="11"/>
  <c r="B26" i="11"/>
  <c r="B30" i="11"/>
  <c r="B34" i="11"/>
  <c r="B42" i="11"/>
  <c r="E42" i="11"/>
  <c r="B46" i="11"/>
  <c r="B13" i="11"/>
  <c r="H13" i="11"/>
  <c r="B17" i="11"/>
  <c r="B21" i="11"/>
  <c r="B25" i="11"/>
  <c r="B29" i="11"/>
  <c r="B33" i="11"/>
  <c r="B41" i="11"/>
  <c r="B45" i="11"/>
  <c r="B51" i="11"/>
  <c r="B52" i="11"/>
  <c r="H52" i="11"/>
  <c r="B54" i="11"/>
  <c r="B55" i="11"/>
  <c r="B57" i="11"/>
  <c r="G57" i="11"/>
  <c r="B58" i="11"/>
  <c r="B67" i="11"/>
  <c r="B68" i="11"/>
  <c r="B9" i="11"/>
  <c r="D9" i="11"/>
  <c r="C11" i="7"/>
  <c r="I11" i="7"/>
  <c r="B8" i="7"/>
  <c r="C12" i="7"/>
  <c r="L12" i="7"/>
  <c r="C13" i="7"/>
  <c r="L13" i="7"/>
  <c r="C16" i="7"/>
  <c r="B14" i="7"/>
  <c r="K19" i="7"/>
  <c r="C17" i="7"/>
  <c r="I17" i="7"/>
  <c r="C18" i="7"/>
  <c r="C19" i="7"/>
  <c r="C22" i="7"/>
  <c r="B20" i="7"/>
  <c r="C23" i="7"/>
  <c r="L23" i="7"/>
  <c r="C24" i="7"/>
  <c r="I24" i="7"/>
  <c r="C25" i="7"/>
  <c r="C28" i="7"/>
  <c r="B27" i="7"/>
  <c r="C29" i="7"/>
  <c r="C30" i="7"/>
  <c r="C31" i="7"/>
  <c r="C33" i="7"/>
  <c r="B32" i="7"/>
  <c r="F35" i="7"/>
  <c r="C34" i="7"/>
  <c r="G34" i="7"/>
  <c r="C35" i="7"/>
  <c r="C36" i="7"/>
  <c r="C39" i="7"/>
  <c r="G39" i="7"/>
  <c r="B38" i="7"/>
  <c r="C41" i="7"/>
  <c r="D41" i="7"/>
  <c r="C40" i="7"/>
  <c r="G40" i="7"/>
  <c r="C42" i="7"/>
  <c r="C44" i="7"/>
  <c r="B43" i="7"/>
  <c r="C45" i="7"/>
  <c r="C46" i="7"/>
  <c r="C47" i="7"/>
  <c r="N47" i="7"/>
  <c r="C10" i="7"/>
  <c r="N10" i="7"/>
  <c r="C12" i="12"/>
  <c r="I12" i="12"/>
  <c r="B10" i="12"/>
  <c r="F14" i="12"/>
  <c r="C13" i="12"/>
  <c r="C14" i="12"/>
  <c r="C16" i="12"/>
  <c r="G16" i="12"/>
  <c r="B15" i="12"/>
  <c r="C17" i="12"/>
  <c r="I17" i="12"/>
  <c r="C18" i="12"/>
  <c r="L18" i="12"/>
  <c r="C19" i="12"/>
  <c r="L19" i="12"/>
  <c r="C21" i="12"/>
  <c r="L21" i="12"/>
  <c r="B20" i="12"/>
  <c r="F24" i="12"/>
  <c r="C22" i="12"/>
  <c r="C23" i="12"/>
  <c r="C24" i="12"/>
  <c r="I24" i="12"/>
  <c r="C26" i="12"/>
  <c r="B25" i="12"/>
  <c r="K29" i="12"/>
  <c r="C27" i="12"/>
  <c r="I27" i="12"/>
  <c r="C28" i="12"/>
  <c r="C29" i="12"/>
  <c r="C31" i="12"/>
  <c r="G31" i="12"/>
  <c r="B30" i="12"/>
  <c r="C32" i="12"/>
  <c r="C33" i="12"/>
  <c r="N33" i="12"/>
  <c r="C34" i="12"/>
  <c r="C38" i="12"/>
  <c r="G38" i="12"/>
  <c r="B37" i="12"/>
  <c r="C39" i="12"/>
  <c r="I39" i="12"/>
  <c r="C40" i="12"/>
  <c r="G40" i="12"/>
  <c r="C41" i="12"/>
  <c r="L41" i="12"/>
  <c r="C43" i="12"/>
  <c r="B42" i="12"/>
  <c r="K45" i="12"/>
  <c r="C44" i="12"/>
  <c r="I44" i="12"/>
  <c r="C45" i="12"/>
  <c r="L45" i="12"/>
  <c r="C46" i="12"/>
  <c r="N46" i="12"/>
  <c r="C48" i="12"/>
  <c r="N48" i="12"/>
  <c r="B47" i="12"/>
  <c r="C49" i="12"/>
  <c r="C50" i="12"/>
  <c r="G50" i="12"/>
  <c r="C51" i="12"/>
  <c r="I51" i="12"/>
  <c r="C53" i="12"/>
  <c r="B52" i="12"/>
  <c r="C54" i="12"/>
  <c r="C55" i="12"/>
  <c r="C56" i="12"/>
  <c r="C58" i="12"/>
  <c r="B57" i="12"/>
  <c r="C59" i="12"/>
  <c r="C60" i="12"/>
  <c r="I60" i="12"/>
  <c r="C61" i="12"/>
  <c r="C11" i="12"/>
  <c r="C11" i="1"/>
  <c r="L11" i="1"/>
  <c r="B8" i="1"/>
  <c r="F10" i="1"/>
  <c r="C12" i="1"/>
  <c r="C13" i="1"/>
  <c r="C16" i="1"/>
  <c r="B15" i="1"/>
  <c r="C17" i="1"/>
  <c r="C18" i="1"/>
  <c r="L18" i="1"/>
  <c r="C19" i="1"/>
  <c r="D19" i="1"/>
  <c r="C21" i="1"/>
  <c r="I21" i="1"/>
  <c r="B20" i="1"/>
  <c r="C22" i="1"/>
  <c r="D22" i="1"/>
  <c r="C23" i="1"/>
  <c r="C24" i="1"/>
  <c r="C26" i="1"/>
  <c r="N26" i="1"/>
  <c r="B25" i="1"/>
  <c r="C27" i="1"/>
  <c r="C28" i="1"/>
  <c r="L28" i="1"/>
  <c r="C29" i="1"/>
  <c r="C32" i="1"/>
  <c r="G32" i="1"/>
  <c r="B31" i="1"/>
  <c r="K34" i="1"/>
  <c r="C33" i="1"/>
  <c r="C34" i="1"/>
  <c r="C35" i="1"/>
  <c r="L35" i="1"/>
  <c r="C38" i="1"/>
  <c r="G38" i="1"/>
  <c r="B37" i="1"/>
  <c r="C39" i="1"/>
  <c r="G39" i="1"/>
  <c r="C40" i="1"/>
  <c r="C41" i="1"/>
  <c r="C43" i="1"/>
  <c r="I43" i="1"/>
  <c r="B42" i="1"/>
  <c r="C44" i="1"/>
  <c r="C45" i="1"/>
  <c r="C46" i="1"/>
  <c r="C10" i="1"/>
  <c r="C10" i="10"/>
  <c r="G10" i="10"/>
  <c r="B10" i="10"/>
  <c r="P10" i="10"/>
  <c r="C11" i="10"/>
  <c r="B11" i="10"/>
  <c r="P11" i="10"/>
  <c r="C12" i="10"/>
  <c r="B12" i="10"/>
  <c r="P12" i="10"/>
  <c r="C13" i="10"/>
  <c r="B13" i="10"/>
  <c r="C15" i="10"/>
  <c r="B15" i="10"/>
  <c r="F15" i="10"/>
  <c r="C16" i="10"/>
  <c r="I16" i="10"/>
  <c r="B16" i="10"/>
  <c r="P16" i="10"/>
  <c r="C17" i="10"/>
  <c r="I17" i="10"/>
  <c r="B17" i="10"/>
  <c r="F17" i="10"/>
  <c r="C18" i="10"/>
  <c r="B18" i="10"/>
  <c r="C19" i="10"/>
  <c r="I19" i="10"/>
  <c r="B19" i="10"/>
  <c r="P19" i="10"/>
  <c r="C21" i="10"/>
  <c r="L21" i="10"/>
  <c r="B21" i="10"/>
  <c r="K21" i="10"/>
  <c r="C22" i="10"/>
  <c r="B22" i="10"/>
  <c r="P22" i="10"/>
  <c r="C8" i="10"/>
  <c r="B8" i="10"/>
  <c r="P8" i="10"/>
  <c r="G61" i="11"/>
  <c r="G10" i="11"/>
  <c r="H10" i="11"/>
  <c r="G13" i="11"/>
  <c r="G25" i="11"/>
  <c r="H25" i="11"/>
  <c r="G34" i="11"/>
  <c r="H34" i="11"/>
  <c r="G37" i="11"/>
  <c r="G38" i="11"/>
  <c r="H42" i="11"/>
  <c r="G46" i="11"/>
  <c r="G49" i="11"/>
  <c r="H49" i="11"/>
  <c r="G55" i="11"/>
  <c r="H55" i="11"/>
  <c r="H57" i="11"/>
  <c r="G60" i="11"/>
  <c r="G64" i="11"/>
  <c r="H64" i="11"/>
  <c r="G67" i="11"/>
  <c r="G68" i="11"/>
  <c r="H68" i="11"/>
  <c r="K16" i="7"/>
  <c r="L17" i="7"/>
  <c r="L19" i="7"/>
  <c r="N19" i="7"/>
  <c r="L22" i="7"/>
  <c r="K22" i="7"/>
  <c r="N22" i="7"/>
  <c r="L29" i="7"/>
  <c r="N29" i="7"/>
  <c r="L30" i="7"/>
  <c r="K30" i="7"/>
  <c r="N30" i="7"/>
  <c r="L31" i="7"/>
  <c r="N31" i="7"/>
  <c r="L41" i="7"/>
  <c r="N41" i="7"/>
  <c r="L42" i="7"/>
  <c r="N42" i="7"/>
  <c r="L44" i="7"/>
  <c r="L47" i="7"/>
  <c r="L14" i="12"/>
  <c r="N14" i="12"/>
  <c r="K18" i="12"/>
  <c r="K28" i="12"/>
  <c r="L32" i="12"/>
  <c r="L33" i="12"/>
  <c r="L34" i="12"/>
  <c r="N34" i="12"/>
  <c r="L44" i="12"/>
  <c r="N44" i="12"/>
  <c r="N51" i="12"/>
  <c r="L53" i="12"/>
  <c r="L54" i="12"/>
  <c r="N54" i="12"/>
  <c r="L13" i="1"/>
  <c r="N13" i="1"/>
  <c r="L16" i="1"/>
  <c r="K16" i="1"/>
  <c r="K17" i="1"/>
  <c r="K18" i="1"/>
  <c r="K19" i="1"/>
  <c r="L21" i="1"/>
  <c r="L22" i="1"/>
  <c r="N22" i="1"/>
  <c r="K26" i="1"/>
  <c r="N33" i="1"/>
  <c r="L34" i="1"/>
  <c r="K38" i="1"/>
  <c r="K39" i="1"/>
  <c r="L40" i="1"/>
  <c r="K40" i="1"/>
  <c r="L41" i="1"/>
  <c r="L46" i="1"/>
  <c r="N46" i="1"/>
  <c r="N10" i="1"/>
  <c r="L13" i="10"/>
  <c r="K13" i="10"/>
  <c r="N13" i="10"/>
  <c r="L15" i="10"/>
  <c r="N15" i="10"/>
  <c r="C11" i="5"/>
  <c r="E10" i="5"/>
  <c r="D10" i="5"/>
  <c r="E68" i="11"/>
  <c r="D68" i="11"/>
  <c r="E64" i="11"/>
  <c r="D64" i="11"/>
  <c r="E61" i="11"/>
  <c r="D61" i="11"/>
  <c r="E60" i="11"/>
  <c r="D60" i="11"/>
  <c r="E57" i="11"/>
  <c r="D57" i="11"/>
  <c r="E55" i="11"/>
  <c r="D55" i="11"/>
  <c r="E49" i="11"/>
  <c r="D49" i="11"/>
  <c r="D38" i="11"/>
  <c r="D37" i="11"/>
  <c r="E34" i="11"/>
  <c r="D34" i="11"/>
  <c r="D33" i="11"/>
  <c r="E25" i="11"/>
  <c r="D25" i="11"/>
  <c r="E10" i="11"/>
  <c r="D10" i="11"/>
  <c r="I44" i="7"/>
  <c r="F44" i="7"/>
  <c r="G44" i="7"/>
  <c r="I42" i="7"/>
  <c r="F42" i="7"/>
  <c r="G42" i="7"/>
  <c r="I41" i="7"/>
  <c r="G41" i="7"/>
  <c r="I33" i="7"/>
  <c r="I31" i="7"/>
  <c r="F31" i="7"/>
  <c r="G31" i="7"/>
  <c r="I30" i="7"/>
  <c r="F30" i="7"/>
  <c r="G30" i="7"/>
  <c r="I29" i="7"/>
  <c r="F29" i="7"/>
  <c r="G29" i="7"/>
  <c r="F28" i="7"/>
  <c r="I22" i="7"/>
  <c r="G22" i="7"/>
  <c r="I19" i="7"/>
  <c r="G19" i="7"/>
  <c r="F18" i="7"/>
  <c r="G10" i="7"/>
  <c r="I61" i="12"/>
  <c r="G61" i="12"/>
  <c r="G60" i="12"/>
  <c r="I43" i="12"/>
  <c r="G43" i="12"/>
  <c r="G41" i="12"/>
  <c r="I38" i="12"/>
  <c r="I34" i="12"/>
  <c r="G34" i="12"/>
  <c r="I31" i="12"/>
  <c r="F31" i="12"/>
  <c r="G27" i="12"/>
  <c r="G23" i="12"/>
  <c r="F19" i="12"/>
  <c r="I14" i="12"/>
  <c r="G14" i="12"/>
  <c r="I46" i="1"/>
  <c r="G46" i="1"/>
  <c r="G45" i="1"/>
  <c r="I41" i="1"/>
  <c r="F41" i="1"/>
  <c r="G41" i="1"/>
  <c r="F40" i="1"/>
  <c r="F39" i="1"/>
  <c r="F38" i="1"/>
  <c r="I19" i="1"/>
  <c r="F19" i="1"/>
  <c r="I18" i="1"/>
  <c r="F18" i="1"/>
  <c r="F17" i="1"/>
  <c r="I16" i="1"/>
  <c r="F16" i="1"/>
  <c r="G16" i="1"/>
  <c r="I13" i="1"/>
  <c r="G13" i="1"/>
  <c r="G12" i="1"/>
  <c r="I11" i="1"/>
  <c r="F11" i="1"/>
  <c r="G11" i="1"/>
  <c r="I10" i="1"/>
  <c r="G10" i="1"/>
  <c r="I15" i="10"/>
  <c r="G15" i="10"/>
  <c r="I13" i="10"/>
  <c r="F13" i="10"/>
  <c r="G13" i="10"/>
  <c r="B36" i="12"/>
  <c r="B8" i="12"/>
  <c r="G22" i="12"/>
  <c r="I22" i="12"/>
  <c r="I41" i="12"/>
  <c r="L51" i="12"/>
  <c r="N27" i="12"/>
  <c r="G32" i="12"/>
  <c r="L43" i="12"/>
  <c r="F16" i="12"/>
  <c r="I32" i="12"/>
  <c r="G51" i="12"/>
  <c r="N61" i="12"/>
  <c r="K16" i="12"/>
  <c r="N22" i="12"/>
  <c r="F46" i="12"/>
  <c r="K17" i="12"/>
  <c r="I16" i="12"/>
  <c r="G33" i="12"/>
  <c r="L61" i="12"/>
  <c r="L16" i="12"/>
  <c r="F17" i="12"/>
  <c r="I33" i="12"/>
  <c r="G53" i="12"/>
  <c r="N55" i="12"/>
  <c r="L22" i="12"/>
  <c r="F45" i="12"/>
  <c r="N43" i="12"/>
  <c r="F18" i="12"/>
  <c r="I53" i="12"/>
  <c r="K33" i="12"/>
  <c r="I50" i="12"/>
  <c r="N50" i="12"/>
  <c r="L50" i="12"/>
  <c r="G21" i="12"/>
  <c r="I59" i="12"/>
  <c r="K60" i="12"/>
  <c r="F60" i="12"/>
  <c r="L10" i="1"/>
  <c r="L11" i="7"/>
  <c r="H46" i="11"/>
  <c r="D17" i="10"/>
  <c r="N17" i="10"/>
  <c r="K46" i="1"/>
  <c r="G42" i="11"/>
  <c r="K17" i="10"/>
  <c r="K48" i="12"/>
  <c r="D17" i="12"/>
  <c r="G17" i="10"/>
  <c r="L17" i="10"/>
  <c r="N19" i="1"/>
  <c r="I10" i="7"/>
  <c r="D42" i="11"/>
  <c r="N56" i="12"/>
  <c r="D15" i="10"/>
  <c r="I12" i="1"/>
  <c r="L56" i="12"/>
  <c r="G11" i="7"/>
  <c r="L19" i="1"/>
  <c r="F13" i="7"/>
  <c r="D46" i="11"/>
  <c r="K19" i="12"/>
  <c r="F45" i="1"/>
  <c r="F39" i="12"/>
  <c r="E46" i="11"/>
  <c r="L12" i="1"/>
  <c r="G56" i="12"/>
  <c r="F8" i="10"/>
  <c r="G19" i="1"/>
  <c r="I56" i="12"/>
  <c r="K8" i="10"/>
  <c r="N11" i="7"/>
  <c r="D13" i="12"/>
  <c r="F21" i="12"/>
  <c r="F40" i="12"/>
  <c r="D40" i="12"/>
  <c r="H40" i="12"/>
  <c r="K42" i="7"/>
  <c r="F32" i="12"/>
  <c r="L16" i="10"/>
  <c r="I38" i="1"/>
  <c r="G28" i="7"/>
  <c r="I21" i="12"/>
  <c r="F39" i="7"/>
  <c r="N45" i="1"/>
  <c r="N31" i="12"/>
  <c r="L28" i="7"/>
  <c r="F21" i="10"/>
  <c r="G27" i="1"/>
  <c r="F22" i="12"/>
  <c r="I39" i="7"/>
  <c r="D41" i="11"/>
  <c r="K45" i="1"/>
  <c r="L38" i="1"/>
  <c r="N12" i="1"/>
  <c r="N38" i="12"/>
  <c r="K31" i="12"/>
  <c r="L16" i="7"/>
  <c r="I45" i="1"/>
  <c r="F46" i="1"/>
  <c r="F10" i="10"/>
  <c r="F27" i="1"/>
  <c r="L45" i="1"/>
  <c r="K38" i="12"/>
  <c r="L40" i="7"/>
  <c r="D33" i="12"/>
  <c r="N38" i="1"/>
  <c r="I28" i="7"/>
  <c r="G22" i="10"/>
  <c r="K13" i="12"/>
  <c r="M13" i="12"/>
  <c r="N39" i="7"/>
  <c r="H45" i="11"/>
  <c r="G12" i="10"/>
  <c r="I54" i="12"/>
  <c r="I22" i="10"/>
  <c r="F28" i="1"/>
  <c r="F43" i="1"/>
  <c r="F23" i="12"/>
  <c r="I16" i="7"/>
  <c r="I40" i="7"/>
  <c r="E58" i="11"/>
  <c r="N22" i="10"/>
  <c r="L44" i="1"/>
  <c r="K29" i="1"/>
  <c r="N18" i="1"/>
  <c r="K23" i="12"/>
  <c r="L13" i="12"/>
  <c r="K39" i="7"/>
  <c r="G45" i="11"/>
  <c r="D18" i="10"/>
  <c r="D32" i="12"/>
  <c r="K13" i="1"/>
  <c r="F26" i="1"/>
  <c r="F33" i="12"/>
  <c r="D58" i="11"/>
  <c r="K44" i="1"/>
  <c r="I28" i="1"/>
  <c r="G44" i="1"/>
  <c r="F34" i="12"/>
  <c r="I45" i="12"/>
  <c r="D45" i="11"/>
  <c r="K22" i="10"/>
  <c r="K43" i="1"/>
  <c r="K28" i="1"/>
  <c r="K34" i="12"/>
  <c r="K12" i="12"/>
  <c r="G16" i="10"/>
  <c r="K32" i="12"/>
  <c r="M32" i="12"/>
  <c r="G54" i="12"/>
  <c r="E41" i="11"/>
  <c r="F22" i="10"/>
  <c r="I27" i="1"/>
  <c r="G45" i="12"/>
  <c r="G16" i="7"/>
  <c r="F40" i="7"/>
  <c r="L38" i="12"/>
  <c r="G18" i="1"/>
  <c r="F29" i="1"/>
  <c r="F44" i="1"/>
  <c r="F41" i="7"/>
  <c r="H41" i="7"/>
  <c r="D26" i="11"/>
  <c r="E45" i="11"/>
  <c r="L22" i="10"/>
  <c r="K41" i="1"/>
  <c r="K27" i="1"/>
  <c r="L48" i="12"/>
  <c r="H58" i="11"/>
  <c r="D45" i="1"/>
  <c r="H45" i="1"/>
  <c r="D38" i="1"/>
  <c r="H38" i="1"/>
  <c r="I44" i="1"/>
  <c r="G48" i="12"/>
  <c r="E26" i="11"/>
  <c r="K10" i="1"/>
  <c r="L27" i="1"/>
  <c r="N16" i="7"/>
  <c r="G58" i="11"/>
  <c r="G41" i="11"/>
  <c r="G52" i="11"/>
  <c r="H17" i="10"/>
  <c r="G17" i="12"/>
  <c r="F48" i="12"/>
  <c r="L55" i="12"/>
  <c r="F11" i="10"/>
  <c r="F12" i="1"/>
  <c r="I23" i="12"/>
  <c r="I40" i="12"/>
  <c r="I48" i="12"/>
  <c r="G55" i="12"/>
  <c r="F22" i="7"/>
  <c r="K15" i="10"/>
  <c r="M15" i="10"/>
  <c r="N26" i="12"/>
  <c r="G51" i="11"/>
  <c r="D29" i="1"/>
  <c r="K12" i="1"/>
  <c r="D12" i="1"/>
  <c r="M12" i="1"/>
  <c r="L26" i="12"/>
  <c r="G26" i="12"/>
  <c r="F41" i="12"/>
  <c r="I12" i="7"/>
  <c r="G23" i="7"/>
  <c r="I47" i="7"/>
  <c r="E33" i="11"/>
  <c r="N39" i="1"/>
  <c r="N23" i="12"/>
  <c r="H33" i="11"/>
  <c r="D53" i="12"/>
  <c r="D38" i="12"/>
  <c r="H51" i="11"/>
  <c r="I55" i="12"/>
  <c r="G12" i="7"/>
  <c r="G47" i="7"/>
  <c r="F13" i="1"/>
  <c r="G22" i="1"/>
  <c r="I39" i="1"/>
  <c r="I26" i="12"/>
  <c r="F50" i="12"/>
  <c r="G13" i="7"/>
  <c r="F23" i="7"/>
  <c r="K11" i="1"/>
  <c r="M33" i="12"/>
  <c r="D13" i="1"/>
  <c r="G11" i="10"/>
  <c r="I23" i="7"/>
  <c r="L39" i="1"/>
  <c r="K51" i="12"/>
  <c r="K41" i="12"/>
  <c r="L23" i="12"/>
  <c r="D10" i="1"/>
  <c r="M10" i="1"/>
  <c r="G23" i="1"/>
  <c r="F32" i="1"/>
  <c r="F27" i="12"/>
  <c r="I13" i="7"/>
  <c r="F24" i="7"/>
  <c r="D13" i="11"/>
  <c r="D51" i="11"/>
  <c r="N11" i="10"/>
  <c r="N24" i="1"/>
  <c r="K25" i="7"/>
  <c r="H22" i="11"/>
  <c r="H15" i="10"/>
  <c r="L17" i="12"/>
  <c r="F49" i="12"/>
  <c r="F33" i="1"/>
  <c r="F28" i="12"/>
  <c r="F51" i="12"/>
  <c r="E13" i="11"/>
  <c r="E51" i="11"/>
  <c r="K11" i="10"/>
  <c r="M38" i="1"/>
  <c r="L24" i="1"/>
  <c r="K40" i="12"/>
  <c r="K24" i="7"/>
  <c r="H14" i="11"/>
  <c r="K27" i="12"/>
  <c r="G24" i="1"/>
  <c r="F34" i="1"/>
  <c r="F25" i="7"/>
  <c r="D14" i="11"/>
  <c r="D52" i="11"/>
  <c r="M17" i="10"/>
  <c r="L11" i="10"/>
  <c r="N23" i="1"/>
  <c r="K39" i="12"/>
  <c r="N33" i="7"/>
  <c r="K23" i="7"/>
  <c r="N12" i="7"/>
  <c r="G14" i="11"/>
  <c r="I11" i="10"/>
  <c r="I22" i="1"/>
  <c r="I23" i="1"/>
  <c r="I24" i="1"/>
  <c r="F35" i="1"/>
  <c r="F38" i="12"/>
  <c r="G33" i="7"/>
  <c r="E14" i="11"/>
  <c r="E52" i="11"/>
  <c r="K10" i="10"/>
  <c r="L23" i="1"/>
  <c r="L33" i="7"/>
  <c r="D33" i="1"/>
  <c r="H33" i="1"/>
  <c r="M19" i="1"/>
  <c r="Q45" i="7"/>
  <c r="S45" i="7"/>
  <c r="P22" i="1"/>
  <c r="R22" i="1"/>
  <c r="P24" i="1"/>
  <c r="P21" i="1"/>
  <c r="P23" i="1"/>
  <c r="G29" i="1"/>
  <c r="L60" i="12"/>
  <c r="Q17" i="1"/>
  <c r="S17" i="1"/>
  <c r="P47" i="7"/>
  <c r="P44" i="7"/>
  <c r="P45" i="7"/>
  <c r="P46" i="7"/>
  <c r="D67" i="11"/>
  <c r="D12" i="10"/>
  <c r="Q12" i="10"/>
  <c r="S12" i="10"/>
  <c r="Q24" i="7"/>
  <c r="S24" i="7"/>
  <c r="I12" i="10"/>
  <c r="H10" i="1"/>
  <c r="G21" i="1"/>
  <c r="I29" i="1"/>
  <c r="G12" i="12"/>
  <c r="F29" i="12"/>
  <c r="F33" i="7"/>
  <c r="F45" i="7"/>
  <c r="D17" i="11"/>
  <c r="D30" i="11"/>
  <c r="E67" i="11"/>
  <c r="N10" i="10"/>
  <c r="M45" i="1"/>
  <c r="K59" i="12"/>
  <c r="K26" i="12"/>
  <c r="H18" i="11"/>
  <c r="P15" i="10"/>
  <c r="R15" i="10"/>
  <c r="S45" i="1"/>
  <c r="Q45" i="1"/>
  <c r="D27" i="1"/>
  <c r="H27" i="1"/>
  <c r="S24" i="1"/>
  <c r="Q24" i="1"/>
  <c r="P19" i="1"/>
  <c r="R19" i="1"/>
  <c r="P18" i="1"/>
  <c r="P17" i="1"/>
  <c r="P16" i="1"/>
  <c r="Q12" i="1"/>
  <c r="S12" i="1"/>
  <c r="Q23" i="7"/>
  <c r="S23" i="7"/>
  <c r="D16" i="7"/>
  <c r="F16" i="7"/>
  <c r="H16" i="7"/>
  <c r="Q16" i="7"/>
  <c r="S16" i="7"/>
  <c r="Q35" i="7"/>
  <c r="S35" i="7"/>
  <c r="N29" i="1"/>
  <c r="F61" i="12"/>
  <c r="I45" i="7"/>
  <c r="E17" i="11"/>
  <c r="E30" i="11"/>
  <c r="N19" i="10"/>
  <c r="L29" i="1"/>
  <c r="L59" i="12"/>
  <c r="K47" i="7"/>
  <c r="G18" i="11"/>
  <c r="P18" i="10"/>
  <c r="D11" i="10"/>
  <c r="Q39" i="1"/>
  <c r="S39" i="1"/>
  <c r="D23" i="1"/>
  <c r="S10" i="7"/>
  <c r="Q10" i="7"/>
  <c r="Q42" i="7"/>
  <c r="S42" i="7"/>
  <c r="Q33" i="7"/>
  <c r="S33" i="7"/>
  <c r="Q13" i="7"/>
  <c r="S13" i="7"/>
  <c r="B9" i="5"/>
  <c r="J9" i="5"/>
  <c r="Q21" i="10"/>
  <c r="S21" i="10"/>
  <c r="D26" i="1"/>
  <c r="H26" i="1"/>
  <c r="Q26" i="1"/>
  <c r="S26" i="1"/>
  <c r="N18" i="7"/>
  <c r="Q18" i="7"/>
  <c r="S18" i="7"/>
  <c r="F16" i="10"/>
  <c r="I18" i="7"/>
  <c r="I25" i="7"/>
  <c r="Q25" i="7"/>
  <c r="S25" i="7"/>
  <c r="D29" i="11"/>
  <c r="Q41" i="1"/>
  <c r="S41" i="1"/>
  <c r="F12" i="10"/>
  <c r="H12" i="10"/>
  <c r="F21" i="1"/>
  <c r="G26" i="1"/>
  <c r="F12" i="12"/>
  <c r="H17" i="12"/>
  <c r="G19" i="10"/>
  <c r="G17" i="1"/>
  <c r="F43" i="12"/>
  <c r="F46" i="7"/>
  <c r="D18" i="11"/>
  <c r="L19" i="10"/>
  <c r="L10" i="10"/>
  <c r="N28" i="1"/>
  <c r="K58" i="12"/>
  <c r="N40" i="12"/>
  <c r="H30" i="11"/>
  <c r="H17" i="11"/>
  <c r="S8" i="10"/>
  <c r="Q8" i="10"/>
  <c r="Q18" i="10"/>
  <c r="S18" i="10"/>
  <c r="Q15" i="10"/>
  <c r="S15" i="10"/>
  <c r="S10" i="1"/>
  <c r="Q10" i="1"/>
  <c r="D44" i="1"/>
  <c r="M44" i="1"/>
  <c r="Q33" i="1"/>
  <c r="S33" i="1"/>
  <c r="D16" i="1"/>
  <c r="H16" i="1"/>
  <c r="Q16" i="1"/>
  <c r="S16" i="1"/>
  <c r="D47" i="7"/>
  <c r="Q31" i="7"/>
  <c r="S31" i="7"/>
  <c r="P22" i="7"/>
  <c r="P24" i="7"/>
  <c r="P25" i="7"/>
  <c r="P23" i="7"/>
  <c r="G36" i="7"/>
  <c r="Q36" i="7"/>
  <c r="S36" i="7"/>
  <c r="R12" i="10"/>
  <c r="P17" i="7"/>
  <c r="P19" i="7"/>
  <c r="P18" i="7"/>
  <c r="P16" i="7"/>
  <c r="G13" i="12"/>
  <c r="G17" i="7"/>
  <c r="F34" i="7"/>
  <c r="E18" i="11"/>
  <c r="N17" i="1"/>
  <c r="K46" i="7"/>
  <c r="G30" i="11"/>
  <c r="G17" i="11"/>
  <c r="P34" i="1"/>
  <c r="P35" i="1"/>
  <c r="P33" i="1"/>
  <c r="P32" i="1"/>
  <c r="N27" i="1"/>
  <c r="Q27" i="1"/>
  <c r="S27" i="1"/>
  <c r="Q23" i="1"/>
  <c r="S23" i="1"/>
  <c r="S19" i="1"/>
  <c r="Q19" i="1"/>
  <c r="P11" i="1"/>
  <c r="P10" i="1"/>
  <c r="P12" i="1"/>
  <c r="P13" i="1"/>
  <c r="R13" i="1"/>
  <c r="Q30" i="7"/>
  <c r="S30" i="7"/>
  <c r="Q22" i="7"/>
  <c r="S22" i="7"/>
  <c r="Q12" i="7"/>
  <c r="S12" i="7"/>
  <c r="E29" i="11"/>
  <c r="G22" i="11"/>
  <c r="Q34" i="1"/>
  <c r="S34" i="1"/>
  <c r="F19" i="10"/>
  <c r="G18" i="12"/>
  <c r="F22" i="1"/>
  <c r="H22" i="1"/>
  <c r="G34" i="1"/>
  <c r="F13" i="12"/>
  <c r="H13" i="12"/>
  <c r="G39" i="12"/>
  <c r="G44" i="12"/>
  <c r="F17" i="7"/>
  <c r="F47" i="7"/>
  <c r="D22" i="11"/>
  <c r="N12" i="10"/>
  <c r="L40" i="12"/>
  <c r="N45" i="7"/>
  <c r="K18" i="7"/>
  <c r="H29" i="11"/>
  <c r="P13" i="10"/>
  <c r="D46" i="1"/>
  <c r="P38" i="1"/>
  <c r="P39" i="1"/>
  <c r="P41" i="1"/>
  <c r="P40" i="1"/>
  <c r="Q32" i="1"/>
  <c r="S32" i="1"/>
  <c r="Q11" i="1"/>
  <c r="S11" i="1"/>
  <c r="Q47" i="7"/>
  <c r="S47" i="7"/>
  <c r="Q41" i="7"/>
  <c r="S41" i="7"/>
  <c r="Q29" i="7"/>
  <c r="S29" i="7"/>
  <c r="D19" i="7"/>
  <c r="M19" i="7"/>
  <c r="F12" i="7"/>
  <c r="P11" i="7"/>
  <c r="P13" i="7"/>
  <c r="P12" i="7"/>
  <c r="P10" i="7"/>
  <c r="Q16" i="10"/>
  <c r="S16" i="10"/>
  <c r="E54" i="11"/>
  <c r="F11" i="12"/>
  <c r="N59" i="12"/>
  <c r="S40" i="1"/>
  <c r="Q40" i="1"/>
  <c r="I13" i="12"/>
  <c r="I35" i="7"/>
  <c r="K22" i="1"/>
  <c r="M22" i="1"/>
  <c r="L17" i="1"/>
  <c r="K11" i="12"/>
  <c r="K14" i="12"/>
  <c r="K45" i="7"/>
  <c r="L35" i="7"/>
  <c r="N24" i="7"/>
  <c r="L18" i="7"/>
  <c r="H54" i="11"/>
  <c r="G29" i="11"/>
  <c r="Q11" i="10"/>
  <c r="S11" i="10"/>
  <c r="N44" i="1"/>
  <c r="Q44" i="1"/>
  <c r="S44" i="1"/>
  <c r="Q18" i="1"/>
  <c r="S18" i="1"/>
  <c r="D22" i="12"/>
  <c r="N40" i="7"/>
  <c r="Q40" i="7"/>
  <c r="S40" i="7"/>
  <c r="Q19" i="7"/>
  <c r="S19" i="7"/>
  <c r="Q11" i="7"/>
  <c r="S11" i="7"/>
  <c r="L43" i="1"/>
  <c r="Q43" i="1"/>
  <c r="S43" i="1"/>
  <c r="S29" i="1"/>
  <c r="Q29" i="1"/>
  <c r="D10" i="10"/>
  <c r="Q10" i="10"/>
  <c r="S10" i="10"/>
  <c r="Q17" i="7"/>
  <c r="S17" i="7"/>
  <c r="H19" i="1"/>
  <c r="L26" i="1"/>
  <c r="D24" i="1"/>
  <c r="F24" i="1"/>
  <c r="Q44" i="7"/>
  <c r="S44" i="7"/>
  <c r="P34" i="7"/>
  <c r="P35" i="7"/>
  <c r="P33" i="7"/>
  <c r="P36" i="7"/>
  <c r="I26" i="1"/>
  <c r="I10" i="10"/>
  <c r="G21" i="10"/>
  <c r="I17" i="1"/>
  <c r="G40" i="1"/>
  <c r="I18" i="12"/>
  <c r="F44" i="12"/>
  <c r="F58" i="12"/>
  <c r="I34" i="1"/>
  <c r="F26" i="12"/>
  <c r="G59" i="12"/>
  <c r="G18" i="7"/>
  <c r="F36" i="7"/>
  <c r="K12" i="10"/>
  <c r="M12" i="10"/>
  <c r="N41" i="1"/>
  <c r="N34" i="1"/>
  <c r="L45" i="7"/>
  <c r="N17" i="7"/>
  <c r="G54" i="11"/>
  <c r="H26" i="11"/>
  <c r="Q22" i="10"/>
  <c r="S22" i="10"/>
  <c r="P17" i="10"/>
  <c r="R17" i="10"/>
  <c r="Q13" i="10"/>
  <c r="S13" i="10"/>
  <c r="Q38" i="1"/>
  <c r="S38" i="1"/>
  <c r="P27" i="1"/>
  <c r="P28" i="1"/>
  <c r="P26" i="1"/>
  <c r="R26" i="1"/>
  <c r="P29" i="1"/>
  <c r="R29" i="1"/>
  <c r="Q46" i="7"/>
  <c r="S46" i="7"/>
  <c r="P42" i="7"/>
  <c r="P41" i="7"/>
  <c r="R41" i="7"/>
  <c r="P39" i="7"/>
  <c r="P40" i="7"/>
  <c r="D28" i="7"/>
  <c r="H28" i="7"/>
  <c r="P31" i="7"/>
  <c r="P29" i="7"/>
  <c r="P30" i="7"/>
  <c r="P28" i="7"/>
  <c r="N35" i="1"/>
  <c r="S35" i="1"/>
  <c r="Q35" i="1"/>
  <c r="I35" i="1"/>
  <c r="M26" i="1"/>
  <c r="D21" i="1"/>
  <c r="Q21" i="1"/>
  <c r="S21" i="1"/>
  <c r="Q28" i="1"/>
  <c r="S28" i="1"/>
  <c r="Q34" i="7"/>
  <c r="S34" i="7"/>
  <c r="F19" i="7"/>
  <c r="G45" i="7"/>
  <c r="Q19" i="10"/>
  <c r="S19" i="10"/>
  <c r="I21" i="10"/>
  <c r="F23" i="1"/>
  <c r="H23" i="1"/>
  <c r="G28" i="1"/>
  <c r="G35" i="1"/>
  <c r="I40" i="1"/>
  <c r="F59" i="12"/>
  <c r="G24" i="7"/>
  <c r="I36" i="7"/>
  <c r="N16" i="10"/>
  <c r="L12" i="10"/>
  <c r="N21" i="1"/>
  <c r="K61" i="12"/>
  <c r="K44" i="7"/>
  <c r="L24" i="7"/>
  <c r="K17" i="7"/>
  <c r="H67" i="11"/>
  <c r="H41" i="11"/>
  <c r="G26" i="11"/>
  <c r="P21" i="10"/>
  <c r="Q17" i="10"/>
  <c r="S17" i="10"/>
  <c r="Q46" i="1"/>
  <c r="S46" i="1"/>
  <c r="P44" i="1"/>
  <c r="P46" i="1"/>
  <c r="P45" i="1"/>
  <c r="P43" i="1"/>
  <c r="Q22" i="1"/>
  <c r="S22" i="1"/>
  <c r="D17" i="1"/>
  <c r="S13" i="1"/>
  <c r="Q13" i="1"/>
  <c r="D45" i="12"/>
  <c r="M45" i="12"/>
  <c r="D45" i="7"/>
  <c r="H45" i="7"/>
  <c r="Q39" i="7"/>
  <c r="S39" i="7"/>
  <c r="N28" i="7"/>
  <c r="Q28" i="7"/>
  <c r="S28" i="7"/>
  <c r="D18" i="7"/>
  <c r="H18" i="7"/>
  <c r="K11" i="7"/>
  <c r="P45" i="12"/>
  <c r="P44" i="12"/>
  <c r="P43" i="12"/>
  <c r="P46" i="12"/>
  <c r="Q39" i="12"/>
  <c r="S39" i="12"/>
  <c r="D16" i="12"/>
  <c r="H16" i="12"/>
  <c r="Q16" i="12"/>
  <c r="S16" i="12"/>
  <c r="Q12" i="12"/>
  <c r="S12" i="12"/>
  <c r="P54" i="12"/>
  <c r="P53" i="12"/>
  <c r="P56" i="12"/>
  <c r="P55" i="12"/>
  <c r="S19" i="12"/>
  <c r="Q19" i="12"/>
  <c r="Q43" i="12"/>
  <c r="S43" i="12"/>
  <c r="S33" i="12"/>
  <c r="Q33" i="12"/>
  <c r="Q28" i="12"/>
  <c r="S28" i="12"/>
  <c r="D14" i="12"/>
  <c r="H14" i="12"/>
  <c r="S29" i="12"/>
  <c r="Q29" i="12"/>
  <c r="F56" i="12"/>
  <c r="L39" i="12"/>
  <c r="L24" i="12"/>
  <c r="L11" i="12"/>
  <c r="S11" i="12"/>
  <c r="Q11" i="12"/>
  <c r="N53" i="12"/>
  <c r="Q53" i="12"/>
  <c r="S53" i="12"/>
  <c r="P39" i="12"/>
  <c r="P41" i="12"/>
  <c r="P38" i="12"/>
  <c r="P40" i="12"/>
  <c r="Q18" i="12"/>
  <c r="S18" i="12"/>
  <c r="D11" i="7"/>
  <c r="I58" i="12"/>
  <c r="Q58" i="12"/>
  <c r="S58" i="12"/>
  <c r="F10" i="7"/>
  <c r="K44" i="12"/>
  <c r="N12" i="12"/>
  <c r="S56" i="12"/>
  <c r="Q56" i="12"/>
  <c r="S51" i="12"/>
  <c r="Q51" i="12"/>
  <c r="S41" i="12"/>
  <c r="Q41" i="12"/>
  <c r="Q38" i="12"/>
  <c r="S38" i="12"/>
  <c r="S27" i="12"/>
  <c r="Q27" i="12"/>
  <c r="Q23" i="12"/>
  <c r="S23" i="12"/>
  <c r="S14" i="12"/>
  <c r="Q14" i="12"/>
  <c r="G29" i="12"/>
  <c r="K36" i="7"/>
  <c r="K13" i="7"/>
  <c r="S61" i="12"/>
  <c r="Q61" i="12"/>
  <c r="N45" i="12"/>
  <c r="Q45" i="12"/>
  <c r="S45" i="12"/>
  <c r="G19" i="12"/>
  <c r="G46" i="12"/>
  <c r="K35" i="7"/>
  <c r="S50" i="12"/>
  <c r="Q50" i="12"/>
  <c r="D44" i="12"/>
  <c r="D34" i="12"/>
  <c r="M34" i="12"/>
  <c r="D26" i="12"/>
  <c r="M26" i="12"/>
  <c r="D39" i="7"/>
  <c r="H39" i="7"/>
  <c r="G24" i="12"/>
  <c r="I29" i="12"/>
  <c r="F11" i="7"/>
  <c r="K43" i="12"/>
  <c r="N16" i="12"/>
  <c r="L12" i="12"/>
  <c r="Q60" i="12"/>
  <c r="S60" i="12"/>
  <c r="Q55" i="12"/>
  <c r="S55" i="12"/>
  <c r="Q49" i="12"/>
  <c r="S49" i="12"/>
  <c r="N32" i="12"/>
  <c r="Q32" i="12"/>
  <c r="S32" i="12"/>
  <c r="P27" i="12"/>
  <c r="P26" i="12"/>
  <c r="P29" i="12"/>
  <c r="P28" i="12"/>
  <c r="N17" i="12"/>
  <c r="S17" i="12"/>
  <c r="Q17" i="12"/>
  <c r="N13" i="12"/>
  <c r="Q13" i="12"/>
  <c r="S13" i="12"/>
  <c r="D30" i="7"/>
  <c r="M30" i="7"/>
  <c r="D17" i="7"/>
  <c r="D12" i="7"/>
  <c r="I46" i="12"/>
  <c r="F53" i="12"/>
  <c r="L29" i="12"/>
  <c r="K10" i="7"/>
  <c r="K34" i="7"/>
  <c r="S44" i="12"/>
  <c r="Q44" i="12"/>
  <c r="S22" i="12"/>
  <c r="Q22" i="12"/>
  <c r="D44" i="7"/>
  <c r="H44" i="7"/>
  <c r="I19" i="12"/>
  <c r="K12" i="7"/>
  <c r="Q59" i="12"/>
  <c r="S59" i="12"/>
  <c r="P50" i="12"/>
  <c r="P49" i="12"/>
  <c r="P51" i="12"/>
  <c r="P48" i="12"/>
  <c r="S34" i="12"/>
  <c r="Q34" i="12"/>
  <c r="Q26" i="12"/>
  <c r="S26" i="12"/>
  <c r="P24" i="12"/>
  <c r="P21" i="12"/>
  <c r="P22" i="12"/>
  <c r="P23" i="12"/>
  <c r="D12" i="12"/>
  <c r="S46" i="12"/>
  <c r="Q46" i="12"/>
  <c r="N24" i="12"/>
  <c r="S24" i="12"/>
  <c r="Q24" i="12"/>
  <c r="K46" i="12"/>
  <c r="N19" i="12"/>
  <c r="K33" i="7"/>
  <c r="S54" i="12"/>
  <c r="Q54" i="12"/>
  <c r="Q48" i="12"/>
  <c r="S48" i="12"/>
  <c r="D43" i="12"/>
  <c r="Q40" i="12"/>
  <c r="S40" i="12"/>
  <c r="P31" i="12"/>
  <c r="P33" i="12"/>
  <c r="R33" i="12"/>
  <c r="P32" i="12"/>
  <c r="P34" i="12"/>
  <c r="Q21" i="12"/>
  <c r="S21" i="12"/>
  <c r="P19" i="12"/>
  <c r="P18" i="12"/>
  <c r="P17" i="12"/>
  <c r="P16" i="12"/>
  <c r="P11" i="12"/>
  <c r="P13" i="12"/>
  <c r="R13" i="12"/>
  <c r="P14" i="12"/>
  <c r="P12" i="12"/>
  <c r="L46" i="12"/>
  <c r="P59" i="12"/>
  <c r="P61" i="12"/>
  <c r="P58" i="12"/>
  <c r="P60" i="12"/>
  <c r="D46" i="12"/>
  <c r="H46" i="12"/>
  <c r="Q31" i="12"/>
  <c r="S31" i="12"/>
  <c r="D24" i="12"/>
  <c r="H24" i="12"/>
  <c r="D19" i="12"/>
  <c r="M19" i="12"/>
  <c r="I8" i="10"/>
  <c r="G58" i="12"/>
  <c r="G21" i="11"/>
  <c r="G10" i="5"/>
  <c r="N43" i="1"/>
  <c r="L33" i="1"/>
  <c r="K33" i="1"/>
  <c r="D34" i="1"/>
  <c r="K32" i="1"/>
  <c r="K35" i="1"/>
  <c r="D61" i="12"/>
  <c r="K50" i="12"/>
  <c r="D48" i="12"/>
  <c r="D50" i="12"/>
  <c r="H50" i="12"/>
  <c r="K49" i="12"/>
  <c r="L27" i="12"/>
  <c r="D27" i="12"/>
  <c r="D18" i="12"/>
  <c r="M18" i="12"/>
  <c r="N18" i="12"/>
  <c r="D10" i="7"/>
  <c r="L10" i="7"/>
  <c r="N35" i="7"/>
  <c r="G35" i="7"/>
  <c r="D35" i="7"/>
  <c r="D13" i="7"/>
  <c r="N13" i="7"/>
  <c r="N28" i="12"/>
  <c r="D28" i="12"/>
  <c r="M28" i="12"/>
  <c r="D46" i="7"/>
  <c r="L46" i="7"/>
  <c r="G46" i="7"/>
  <c r="L36" i="7"/>
  <c r="G25" i="7"/>
  <c r="K54" i="12"/>
  <c r="D54" i="12"/>
  <c r="D56" i="12"/>
  <c r="K53" i="12"/>
  <c r="K56" i="12"/>
  <c r="I46" i="7"/>
  <c r="N32" i="1"/>
  <c r="D32" i="1"/>
  <c r="H32" i="1"/>
  <c r="D34" i="7"/>
  <c r="L34" i="7"/>
  <c r="I11" i="12"/>
  <c r="I34" i="7"/>
  <c r="L32" i="1"/>
  <c r="K55" i="12"/>
  <c r="N34" i="7"/>
  <c r="D22" i="10"/>
  <c r="R22" i="10"/>
  <c r="D41" i="1"/>
  <c r="H41" i="1"/>
  <c r="D35" i="1"/>
  <c r="H35" i="1"/>
  <c r="N49" i="12"/>
  <c r="D49" i="12"/>
  <c r="N46" i="7"/>
  <c r="I32" i="1"/>
  <c r="G18" i="10"/>
  <c r="G33" i="1"/>
  <c r="K18" i="10"/>
  <c r="M18" i="10"/>
  <c r="L49" i="12"/>
  <c r="L28" i="12"/>
  <c r="H21" i="11"/>
  <c r="D13" i="10"/>
  <c r="H13" i="10"/>
  <c r="N60" i="12"/>
  <c r="D60" i="12"/>
  <c r="H60" i="12"/>
  <c r="D55" i="12"/>
  <c r="D51" i="12"/>
  <c r="N23" i="7"/>
  <c r="D23" i="7"/>
  <c r="D54" i="11"/>
  <c r="L18" i="10"/>
  <c r="H10" i="5"/>
  <c r="D21" i="10"/>
  <c r="N40" i="1"/>
  <c r="D40" i="1"/>
  <c r="H40" i="1"/>
  <c r="D58" i="12"/>
  <c r="N8" i="10"/>
  <c r="F18" i="10"/>
  <c r="H18" i="10"/>
  <c r="F55" i="12"/>
  <c r="D18" i="1"/>
  <c r="M18" i="1"/>
  <c r="D59" i="12"/>
  <c r="H59" i="12"/>
  <c r="D39" i="12"/>
  <c r="M39" i="12"/>
  <c r="N39" i="12"/>
  <c r="D31" i="12"/>
  <c r="L31" i="12"/>
  <c r="K22" i="12"/>
  <c r="D23" i="12"/>
  <c r="K21" i="12"/>
  <c r="K24" i="12"/>
  <c r="L8" i="10"/>
  <c r="D8" i="10"/>
  <c r="D11" i="12"/>
  <c r="D43" i="1"/>
  <c r="I18" i="10"/>
  <c r="I33" i="1"/>
  <c r="D21" i="11"/>
  <c r="N21" i="10"/>
  <c r="N58" i="12"/>
  <c r="D16" i="10"/>
  <c r="R16" i="10"/>
  <c r="N21" i="12"/>
  <c r="D21" i="12"/>
  <c r="I28" i="12"/>
  <c r="I49" i="12"/>
  <c r="D25" i="7"/>
  <c r="M25" i="7"/>
  <c r="L25" i="7"/>
  <c r="G9" i="11"/>
  <c r="G11" i="12"/>
  <c r="F54" i="12"/>
  <c r="N18" i="10"/>
  <c r="G8" i="10"/>
  <c r="G43" i="1"/>
  <c r="G28" i="12"/>
  <c r="G49" i="12"/>
  <c r="E9" i="11"/>
  <c r="E21" i="11"/>
  <c r="N11" i="12"/>
  <c r="N25" i="7"/>
  <c r="H9" i="11"/>
  <c r="K19" i="10"/>
  <c r="D19" i="10"/>
  <c r="H19" i="10"/>
  <c r="K16" i="10"/>
  <c r="D39" i="1"/>
  <c r="M39" i="1"/>
  <c r="K21" i="1"/>
  <c r="K24" i="1"/>
  <c r="K23" i="1"/>
  <c r="N11" i="1"/>
  <c r="D11" i="1"/>
  <c r="K41" i="7"/>
  <c r="M41" i="7"/>
  <c r="D40" i="7"/>
  <c r="D42" i="7"/>
  <c r="K40" i="7"/>
  <c r="K29" i="7"/>
  <c r="D29" i="7"/>
  <c r="H29" i="7"/>
  <c r="D31" i="7"/>
  <c r="H31" i="7"/>
  <c r="K28" i="7"/>
  <c r="M28" i="7"/>
  <c r="K31" i="7"/>
  <c r="D36" i="7"/>
  <c r="N36" i="7"/>
  <c r="L58" i="12"/>
  <c r="D28" i="1"/>
  <c r="H28" i="1"/>
  <c r="D41" i="12"/>
  <c r="N41" i="12"/>
  <c r="N29" i="12"/>
  <c r="D29" i="12"/>
  <c r="L39" i="7"/>
  <c r="D33" i="7"/>
  <c r="D24" i="7"/>
  <c r="D22" i="7"/>
  <c r="N16" i="1"/>
  <c r="N44" i="7"/>
  <c r="G33" i="11"/>
  <c r="R17" i="12"/>
  <c r="M17" i="12"/>
  <c r="H41" i="12"/>
  <c r="R38" i="12"/>
  <c r="M38" i="12"/>
  <c r="H38" i="12"/>
  <c r="R32" i="12"/>
  <c r="H33" i="12"/>
  <c r="H32" i="12"/>
  <c r="H21" i="12"/>
  <c r="H56" i="12"/>
  <c r="H26" i="12"/>
  <c r="H49" i="12"/>
  <c r="M12" i="12"/>
  <c r="M27" i="12"/>
  <c r="H40" i="7"/>
  <c r="H11" i="7"/>
  <c r="M11" i="12"/>
  <c r="R11" i="7"/>
  <c r="R44" i="1"/>
  <c r="H22" i="12"/>
  <c r="H29" i="1"/>
  <c r="R44" i="7"/>
  <c r="M34" i="7"/>
  <c r="H46" i="7"/>
  <c r="H34" i="1"/>
  <c r="R45" i="1"/>
  <c r="R12" i="7"/>
  <c r="R38" i="1"/>
  <c r="H17" i="7"/>
  <c r="H44" i="1"/>
  <c r="M29" i="1"/>
  <c r="R10" i="1"/>
  <c r="R36" i="7"/>
  <c r="M11" i="10"/>
  <c r="R18" i="10"/>
  <c r="M40" i="12"/>
  <c r="H12" i="1"/>
  <c r="R16" i="12"/>
  <c r="M13" i="1"/>
  <c r="H13" i="1"/>
  <c r="M54" i="12"/>
  <c r="M46" i="1"/>
  <c r="R33" i="7"/>
  <c r="R16" i="7"/>
  <c r="R39" i="7"/>
  <c r="R27" i="1"/>
  <c r="R34" i="7"/>
  <c r="M45" i="7"/>
  <c r="R12" i="1"/>
  <c r="H8" i="10"/>
  <c r="R26" i="12"/>
  <c r="M16" i="7"/>
  <c r="R53" i="12"/>
  <c r="H19" i="7"/>
  <c r="M14" i="12"/>
  <c r="H43" i="12"/>
  <c r="H53" i="12"/>
  <c r="M23" i="1"/>
  <c r="H36" i="7"/>
  <c r="M24" i="1"/>
  <c r="M10" i="7"/>
  <c r="M40" i="1"/>
  <c r="R12" i="12"/>
  <c r="R34" i="12"/>
  <c r="H12" i="7"/>
  <c r="H45" i="12"/>
  <c r="R40" i="12"/>
  <c r="R44" i="12"/>
  <c r="R33" i="1"/>
  <c r="M33" i="1"/>
  <c r="M21" i="1"/>
  <c r="R14" i="12"/>
  <c r="R45" i="12"/>
  <c r="R31" i="7"/>
  <c r="B11" i="5"/>
  <c r="J11" i="5"/>
  <c r="M43" i="12"/>
  <c r="G9" i="5"/>
  <c r="M16" i="12"/>
  <c r="M53" i="12"/>
  <c r="H55" i="12"/>
  <c r="H24" i="1"/>
  <c r="R39" i="1"/>
  <c r="M61" i="12"/>
  <c r="M56" i="12"/>
  <c r="M34" i="1"/>
  <c r="R24" i="12"/>
  <c r="R40" i="7"/>
  <c r="R28" i="1"/>
  <c r="R35" i="7"/>
  <c r="R13" i="7"/>
  <c r="H47" i="7"/>
  <c r="R18" i="12"/>
  <c r="R8" i="10"/>
  <c r="H39" i="1"/>
  <c r="R21" i="10"/>
  <c r="R13" i="10"/>
  <c r="R16" i="1"/>
  <c r="H11" i="10"/>
  <c r="M24" i="12"/>
  <c r="R43" i="1"/>
  <c r="R42" i="7"/>
  <c r="R32" i="1"/>
  <c r="R23" i="7"/>
  <c r="M47" i="7"/>
  <c r="R17" i="1"/>
  <c r="M16" i="1"/>
  <c r="R19" i="10"/>
  <c r="R25" i="7"/>
  <c r="R18" i="1"/>
  <c r="R47" i="7"/>
  <c r="R46" i="1"/>
  <c r="H46" i="1"/>
  <c r="R11" i="1"/>
  <c r="R35" i="1"/>
  <c r="R24" i="7"/>
  <c r="R23" i="1"/>
  <c r="R10" i="7"/>
  <c r="M18" i="7"/>
  <c r="R34" i="1"/>
  <c r="R18" i="7"/>
  <c r="R22" i="7"/>
  <c r="R21" i="1"/>
  <c r="H16" i="10"/>
  <c r="H10" i="10"/>
  <c r="R19" i="7"/>
  <c r="E9" i="5"/>
  <c r="D9" i="5"/>
  <c r="H9" i="5"/>
  <c r="M10" i="10"/>
  <c r="R24" i="1"/>
  <c r="H61" i="12"/>
  <c r="M16" i="10"/>
  <c r="R51" i="12"/>
  <c r="H54" i="12"/>
  <c r="M22" i="12"/>
  <c r="R49" i="12"/>
  <c r="R27" i="12"/>
  <c r="H17" i="1"/>
  <c r="R30" i="7"/>
  <c r="R40" i="1"/>
  <c r="R11" i="10"/>
  <c r="R17" i="7"/>
  <c r="R46" i="7"/>
  <c r="H30" i="7"/>
  <c r="R28" i="7"/>
  <c r="M46" i="12"/>
  <c r="R22" i="12"/>
  <c r="R50" i="12"/>
  <c r="M17" i="7"/>
  <c r="H44" i="12"/>
  <c r="R10" i="10"/>
  <c r="H21" i="1"/>
  <c r="R29" i="7"/>
  <c r="R41" i="1"/>
  <c r="M17" i="1"/>
  <c r="M27" i="1"/>
  <c r="R45" i="7"/>
  <c r="R11" i="12"/>
  <c r="R31" i="12"/>
  <c r="M39" i="7"/>
  <c r="H18" i="12"/>
  <c r="R21" i="12"/>
  <c r="M44" i="12"/>
  <c r="M11" i="7"/>
  <c r="M12" i="7"/>
  <c r="H34" i="7"/>
  <c r="H58" i="12"/>
  <c r="R19" i="12"/>
  <c r="H39" i="12"/>
  <c r="H12" i="12"/>
  <c r="H25" i="7"/>
  <c r="R60" i="12"/>
  <c r="R55" i="12"/>
  <c r="H34" i="12"/>
  <c r="R58" i="12"/>
  <c r="R41" i="12"/>
  <c r="R56" i="12"/>
  <c r="H19" i="12"/>
  <c r="M21" i="12"/>
  <c r="R61" i="12"/>
  <c r="R28" i="12"/>
  <c r="R39" i="12"/>
  <c r="R46" i="12"/>
  <c r="M40" i="7"/>
  <c r="R59" i="12"/>
  <c r="R23" i="12"/>
  <c r="R48" i="12"/>
  <c r="M44" i="7"/>
  <c r="R29" i="12"/>
  <c r="R54" i="12"/>
  <c r="R43" i="12"/>
  <c r="H48" i="12"/>
  <c r="H21" i="10"/>
  <c r="M31" i="7"/>
  <c r="H42" i="7"/>
  <c r="M42" i="7"/>
  <c r="M36" i="7"/>
  <c r="M55" i="12"/>
  <c r="M24" i="7"/>
  <c r="H10" i="7"/>
  <c r="M50" i="12"/>
  <c r="M21" i="10"/>
  <c r="M46" i="7"/>
  <c r="M43" i="1"/>
  <c r="H23" i="12"/>
  <c r="M23" i="12"/>
  <c r="M60" i="12"/>
  <c r="H11" i="12"/>
  <c r="M22" i="7"/>
  <c r="M13" i="7"/>
  <c r="H13" i="7"/>
  <c r="H24" i="7"/>
  <c r="H43" i="1"/>
  <c r="M8" i="10"/>
  <c r="M59" i="12"/>
  <c r="M51" i="12"/>
  <c r="H51" i="12"/>
  <c r="M35" i="7"/>
  <c r="M35" i="1"/>
  <c r="H22" i="10"/>
  <c r="H27" i="12"/>
  <c r="M32" i="1"/>
  <c r="H35" i="7"/>
  <c r="H33" i="7"/>
  <c r="M28" i="1"/>
  <c r="M29" i="7"/>
  <c r="M33" i="7"/>
  <c r="H23" i="7"/>
  <c r="M23" i="7"/>
  <c r="H18" i="1"/>
  <c r="M48" i="12"/>
  <c r="M49" i="12"/>
  <c r="M19" i="10"/>
  <c r="M58" i="12"/>
  <c r="M11" i="1"/>
  <c r="H31" i="12"/>
  <c r="M31" i="12"/>
  <c r="M29" i="12"/>
  <c r="H28" i="12"/>
  <c r="M13" i="10"/>
  <c r="M41" i="12"/>
  <c r="M41" i="1"/>
  <c r="H11" i="1"/>
  <c r="H29" i="12"/>
  <c r="H22" i="7"/>
  <c r="M22" i="10"/>
  <c r="G11" i="5"/>
  <c r="D11" i="5"/>
</calcChain>
</file>

<file path=xl/sharedStrings.xml><?xml version="1.0" encoding="utf-8"?>
<sst xmlns="http://schemas.openxmlformats.org/spreadsheetml/2006/main" count="636" uniqueCount="228">
  <si>
    <t>&lt;50%</t>
  </si>
  <si>
    <t>&lt;100%</t>
  </si>
  <si>
    <t>&lt;150%</t>
  </si>
  <si>
    <t>&lt;200%</t>
  </si>
  <si>
    <t>Children (&lt;age 18)</t>
  </si>
  <si>
    <t>Adults (age 18 and older) with no children in household</t>
  </si>
  <si>
    <t>Families with married heads</t>
  </si>
  <si>
    <t>All households</t>
  </si>
  <si>
    <t>Households with children (&lt;age 18)</t>
  </si>
  <si>
    <t>Households with young children (&lt;age 5)</t>
  </si>
  <si>
    <t>Households with no children</t>
  </si>
  <si>
    <t>Adults (age 18 and older)</t>
  </si>
  <si>
    <t>By age</t>
  </si>
  <si>
    <t>By poverty level</t>
  </si>
  <si>
    <t>By age and poverty level</t>
  </si>
  <si>
    <t>Black, non-Hispanic</t>
  </si>
  <si>
    <t>AAPI, non-Hispanic</t>
  </si>
  <si>
    <t>Hispanic</t>
  </si>
  <si>
    <t>White, non-Hispanic</t>
  </si>
  <si>
    <t>By family composition and poverty level</t>
  </si>
  <si>
    <t>By location</t>
  </si>
  <si>
    <t>All but New York City</t>
  </si>
  <si>
    <t>New York City</t>
  </si>
  <si>
    <t>Table 2</t>
  </si>
  <si>
    <t>Positive Resource Changes</t>
  </si>
  <si>
    <t>Number of households with positive resource changes</t>
  </si>
  <si>
    <t>Average net change in resources for households with positive resource changes</t>
  </si>
  <si>
    <t>Average net change in resources for households with negative resource changes</t>
  </si>
  <si>
    <t>Negative Resource Changes</t>
  </si>
  <si>
    <t>Number of households with negative resource changes</t>
  </si>
  <si>
    <t>Amount ($)</t>
  </si>
  <si>
    <t>Baseline ($)</t>
  </si>
  <si>
    <t>--</t>
  </si>
  <si>
    <t>Unemployment Insurance Benefits</t>
  </si>
  <si>
    <t>Number of people receiving benefits (thousands)</t>
  </si>
  <si>
    <t>Aggregate annual benefits (millions)</t>
  </si>
  <si>
    <t>Cash Aid to Families -- Temporary Assistance for Needy Families (TANF) and Safety Net Assistance (SNA)</t>
  </si>
  <si>
    <t>Average monthly families with benefits (thousands)</t>
  </si>
  <si>
    <t>Cash Aid to Childless Adults and Couples (SNA)</t>
  </si>
  <si>
    <t>Average monthly number of units receiving benefits (thousands)</t>
  </si>
  <si>
    <t>Child Care Subsidies</t>
  </si>
  <si>
    <t>Average monthly number of children receiving benefits (thousands)</t>
  </si>
  <si>
    <t>Public and Subsidized Housing through Federal Programs</t>
  </si>
  <si>
    <t>Number of households receiving subsidy (thousands)</t>
  </si>
  <si>
    <t>Supplemental Nutrition Assistance Program (SNAP)</t>
  </si>
  <si>
    <t>Home Energy Assistance Program (HEAP)</t>
  </si>
  <si>
    <t>Households receiving benefits (thousands)</t>
  </si>
  <si>
    <t>Children (&lt; age 18)</t>
  </si>
  <si>
    <t>Ages 0 through 4</t>
  </si>
  <si>
    <t>Ages 5 through 17</t>
  </si>
  <si>
    <t>Adults (ages 18 and older)</t>
  </si>
  <si>
    <r>
      <t>By race and ethnicity</t>
    </r>
    <r>
      <rPr>
        <vertAlign val="superscript"/>
        <sz val="10"/>
        <color theme="1"/>
        <rFont val="Calibri"/>
        <family val="2"/>
        <scheme val="minor"/>
      </rPr>
      <t>2</t>
    </r>
  </si>
  <si>
    <t>Multiple and other races, non-Hispanic</t>
  </si>
  <si>
    <t>Balance of state</t>
  </si>
  <si>
    <t xml:space="preserve"> </t>
  </si>
  <si>
    <t>Young children (ages 0 through 4)</t>
  </si>
  <si>
    <r>
      <t>Total individuals</t>
    </r>
    <r>
      <rPr>
        <vertAlign val="superscript"/>
        <sz val="10"/>
        <color theme="1"/>
        <rFont val="Calibri"/>
        <family val="2"/>
        <scheme val="minor"/>
      </rPr>
      <t>1</t>
    </r>
  </si>
  <si>
    <r>
      <t>By race and ethnicity and poverty level</t>
    </r>
    <r>
      <rPr>
        <vertAlign val="superscript"/>
        <sz val="10"/>
        <color theme="1"/>
        <rFont val="Calibri"/>
        <family val="2"/>
        <scheme val="minor"/>
      </rPr>
      <t>2</t>
    </r>
  </si>
  <si>
    <t>Total children (&lt; age 18)</t>
  </si>
  <si>
    <t>By location and poverty level</t>
  </si>
  <si>
    <t>Total Families with Children</t>
  </si>
  <si>
    <t>Number in poverty</t>
  </si>
  <si>
    <t>Baseline number in poverty</t>
  </si>
  <si>
    <t>Total group population</t>
  </si>
  <si>
    <t>Difference from baseline (number)</t>
  </si>
  <si>
    <t>Difference from baseline (percentage point)</t>
  </si>
  <si>
    <t>Baseline percent of population group in poverty</t>
  </si>
  <si>
    <t>Percent of population group in poverty</t>
  </si>
  <si>
    <t>Difference from baseline (percent)</t>
  </si>
  <si>
    <t>Table 1</t>
  </si>
  <si>
    <t>Table 3</t>
  </si>
  <si>
    <t>Table 4</t>
  </si>
  <si>
    <t>Number of Households</t>
  </si>
  <si>
    <t>Table 5</t>
  </si>
  <si>
    <t>Table 7</t>
  </si>
  <si>
    <t>Table 8</t>
  </si>
  <si>
    <t>Source: Urban Institute tabulations of data from the ATTIS model using CPRAC-SPM, using 2019 American Community Survey Data</t>
  </si>
  <si>
    <t>Earned income tax credit</t>
  </si>
  <si>
    <t>Child and dependent care tax credit</t>
  </si>
  <si>
    <t>Returns with credit (thousands)</t>
  </si>
  <si>
    <t>Total credit (millions)</t>
  </si>
  <si>
    <r>
      <t>Aggregate annual benefits (millions)</t>
    </r>
    <r>
      <rPr>
        <vertAlign val="superscript"/>
        <sz val="10"/>
        <color theme="1"/>
        <rFont val="Calibri"/>
        <family val="2"/>
        <scheme val="minor"/>
      </rPr>
      <t>3</t>
    </r>
  </si>
  <si>
    <r>
      <t>By poverty level</t>
    </r>
    <r>
      <rPr>
        <vertAlign val="superscript"/>
        <sz val="10"/>
        <color theme="1"/>
        <rFont val="Calibri"/>
        <family val="2"/>
        <scheme val="minor"/>
      </rPr>
      <t>2</t>
    </r>
  </si>
  <si>
    <r>
      <t>By race and ethnicity and child poverty level (children &lt; age 18)</t>
    </r>
    <r>
      <rPr>
        <vertAlign val="superscript"/>
        <sz val="10"/>
        <color theme="1"/>
        <rFont val="Calibri"/>
        <family val="2"/>
        <scheme val="minor"/>
      </rPr>
      <t>2</t>
    </r>
  </si>
  <si>
    <r>
      <t>Total Families</t>
    </r>
    <r>
      <rPr>
        <vertAlign val="superscript"/>
        <sz val="10"/>
        <color theme="1"/>
        <rFont val="Calibri"/>
        <family val="2"/>
        <scheme val="minor"/>
      </rPr>
      <t>1</t>
    </r>
  </si>
  <si>
    <t>Rent burden relief credit</t>
  </si>
  <si>
    <t>Percent of population group in income band</t>
  </si>
  <si>
    <t>Baseline percent of population group in income band</t>
  </si>
  <si>
    <t>Baseline number in income band</t>
  </si>
  <si>
    <t>Number in income band</t>
  </si>
  <si>
    <t>Families with single heads</t>
  </si>
  <si>
    <t>Aggregate subsidy value (millions)</t>
  </si>
  <si>
    <t>State Income Taxes</t>
  </si>
  <si>
    <t>Total state income tax collections after credits (millions)</t>
  </si>
  <si>
    <t>City Income Taxes (NYC and Yonkers)</t>
  </si>
  <si>
    <t>Total city income tax collections after credits (millions)</t>
  </si>
  <si>
    <t>Average monthly people receiving benefits (thousands)</t>
  </si>
  <si>
    <t>Annual benefits (millions)</t>
  </si>
  <si>
    <r>
      <t>Supplemental Security Income (SSI)</t>
    </r>
    <r>
      <rPr>
        <vertAlign val="superscript"/>
        <sz val="10"/>
        <color theme="1"/>
        <rFont val="Calibri"/>
        <family val="2"/>
        <scheme val="minor"/>
      </rPr>
      <t>2</t>
    </r>
  </si>
  <si>
    <r>
      <t>Aggregate annual benefits (millions)</t>
    </r>
    <r>
      <rPr>
        <vertAlign val="superscript"/>
        <sz val="10"/>
        <color theme="1"/>
        <rFont val="Calibri"/>
        <family val="2"/>
        <scheme val="minor"/>
      </rPr>
      <t>5</t>
    </r>
  </si>
  <si>
    <t>numbers are in thousands</t>
  </si>
  <si>
    <t>Numbers are in thousands; dollars are nominal 2019 amounts (not inflated)</t>
  </si>
  <si>
    <t>Dollars are nominal 2019 amounts (not inflated)</t>
  </si>
  <si>
    <r>
      <t>Costs of benefit programs</t>
    </r>
    <r>
      <rPr>
        <vertAlign val="superscript"/>
        <sz val="10"/>
        <color theme="1"/>
        <rFont val="Calibri"/>
        <family val="2"/>
        <scheme val="minor"/>
      </rPr>
      <t>2</t>
    </r>
  </si>
  <si>
    <t>Federal Taxes (New York State households only)</t>
  </si>
  <si>
    <t>Total federal income tax after credits (millions)</t>
  </si>
  <si>
    <r>
      <t>Total OASDHI taxes (millions)</t>
    </r>
    <r>
      <rPr>
        <vertAlign val="superscript"/>
        <sz val="10"/>
        <color theme="1"/>
        <rFont val="Calibri"/>
        <family val="2"/>
        <scheme val="minor"/>
      </rPr>
      <t>6</t>
    </r>
  </si>
  <si>
    <r>
      <t>Government benefits and taxes in New York (federal and state, in millions)</t>
    </r>
    <r>
      <rPr>
        <vertAlign val="superscript"/>
        <sz val="10"/>
        <color theme="1"/>
        <rFont val="Calibri"/>
        <family val="2"/>
        <scheme val="minor"/>
      </rPr>
      <t>1</t>
    </r>
  </si>
  <si>
    <t>Difference from baseline ($)</t>
  </si>
  <si>
    <t>Average monthly people with benefits (thousands)</t>
  </si>
  <si>
    <r>
      <t>Special Supplemental Nutrition Assistance Program for Women, Infants, and Children (WIC)</t>
    </r>
    <r>
      <rPr>
        <vertAlign val="superscript"/>
        <sz val="10"/>
        <color theme="1"/>
        <rFont val="Calibri"/>
        <family val="2"/>
        <scheme val="minor"/>
      </rPr>
      <t>4</t>
    </r>
  </si>
  <si>
    <t>Aggregate annual pre-rebate food benefits, all recipients (millions)</t>
  </si>
  <si>
    <t>Families without Children</t>
  </si>
  <si>
    <t>Alternative-policy benefit and tax data</t>
  </si>
  <si>
    <t>State and city income tax (net of credits)</t>
  </si>
  <si>
    <t>Benefit costs minus state/city income tax collections</t>
  </si>
  <si>
    <t>Empire State Child Credit</t>
  </si>
  <si>
    <r>
      <t>Baseline benefit and tax data</t>
    </r>
    <r>
      <rPr>
        <vertAlign val="superscript"/>
        <sz val="10"/>
        <rFont val="Calibri"/>
        <family val="2"/>
        <scheme val="minor"/>
      </rPr>
      <t>1</t>
    </r>
  </si>
  <si>
    <t>"Baseline" for comparisons reflects 2019 policies and new permanent policies (higher minimum wage, ESCC for age &lt; 4, modified public assistance and child care subsidy policies, and NYC EITC expansion).</t>
  </si>
  <si>
    <t>Simulations do not include potential changes in labor force choices.</t>
  </si>
  <si>
    <t>Interpretation of survey-based estimates: These results are estimates based on survey data.  All survey-based estimates have a degree of uncertainty because a sample of the population cannot perfectly represent the full population, and because of simplifications and assumptions required by the modeling process. The uncertainty is generally largest for smaller population subgroups.</t>
  </si>
  <si>
    <t xml:space="preserve">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 </t>
  </si>
  <si>
    <t xml:space="preserve">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 The poverty-level groups each include all people in the given racial and ethnic group at or below each poverty level; for example, the group labeled “&lt;150%” includes all people with family incomes below 150 percent of the poverty threshold, including all the people in the “&lt;100%” group. </t>
  </si>
  <si>
    <t>Notes: (1) The population counts do not include those who live in group quarters and institutions. (2) The poverty-level groups each include all people at or below each poverty level; for example, the group labeled “&lt;150%” includes all people with family incomes below 150 percent of the poverty threshold, including all the people in the “&lt;100%” group.</t>
  </si>
  <si>
    <t>Notes: (1) The population counts do not include those who live in group quarters and institutions. (2)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t>
  </si>
  <si>
    <t xml:space="preserve">Notes:  (1) This table considers changes at the level of household--all individuals in the dwelling unit, regardless of relationships. Household resources are assessed using the SPM resource measure, summed across all SPM poverty units in the household. </t>
  </si>
  <si>
    <t xml:space="preserve">Notes:  (1) Data shown are from the ATTIS simulations of New York's programs in 2019.  The caseloads and benefits were developed to come as close as possible to actual data within the limitations of the survey data. (2) SSI caseload and cost figures include both adult and child recipients. (3) The simulated value of housing benefits equals the fair market rent of the unit minus the household's required payment. (4) The simulated WIC data include infants, children, and postpartum mothers, but not pregnant women.  Benefits for infants are prior to the infant formula rebate. (5) HEAP benefits do not include weatherization or equipment payments. (6) OASDHI taxes include both the worker and employer shares of taxes on wages and salaries and self-employment tax. </t>
  </si>
  <si>
    <t>State Food Benefit</t>
  </si>
  <si>
    <t xml:space="preserve">Notes: (1) Administrative costs are not included. (2) Costs of benefit programs include unemployment compensation, SSI, TANF and SNA for families, SNA for childless adults and couples, child care subsidy value, housing subsidy value, SNAP, WIC, and HEAP.  The government costs shown for TANF/SNA benefits do not currently reflect the impact of retained child support. Benefits costs include costs paid by both federal and state government. </t>
  </si>
  <si>
    <t>Baseline measures</t>
  </si>
  <si>
    <t>Combined Policies Package 2</t>
  </si>
  <si>
    <t>Baseline Child Poverty* ("Before")</t>
  </si>
  <si>
    <t>Estimated Child Poverty ("After")</t>
  </si>
  <si>
    <t>Child Poverty Reduction Effect (%) ages 0-17</t>
  </si>
  <si>
    <t>Child Poverty Reduction Effect (%) - ages 0-4</t>
  </si>
  <si>
    <t>Child Poverty Reduction - White</t>
  </si>
  <si>
    <t>Child Poverty Reduction - Black</t>
  </si>
  <si>
    <r>
      <t xml:space="preserve">Child Poverty Reduction - Hispanic </t>
    </r>
    <r>
      <rPr>
        <vertAlign val="superscript"/>
        <sz val="11"/>
        <color theme="1"/>
        <rFont val="Calibri"/>
        <family val="2"/>
        <scheme val="minor"/>
      </rPr>
      <t>1</t>
    </r>
  </si>
  <si>
    <r>
      <t xml:space="preserve">Child Poverty Reduction - AAPI </t>
    </r>
    <r>
      <rPr>
        <vertAlign val="superscript"/>
        <sz val="11"/>
        <color theme="1"/>
        <rFont val="Calibri"/>
        <family val="2"/>
        <scheme val="minor"/>
      </rPr>
      <t>1</t>
    </r>
  </si>
  <si>
    <t>Positive Resource Change - Households w Children (thousands)</t>
  </si>
  <si>
    <t>Avg Net Annual Pos Resource Change - Households w Children</t>
  </si>
  <si>
    <t>Negative Resource Change - Households w Children (thousands)</t>
  </si>
  <si>
    <t>Avg Net Annual Neg Resource Change - Households w Children</t>
  </si>
  <si>
    <t>All Ages Poverty Reduction - NYC</t>
  </si>
  <si>
    <t>All Ages Poverty Reduction - ROS</t>
  </si>
  <si>
    <t>Baseline Cost ($millions)</t>
  </si>
  <si>
    <t>Additional Annual Cost ($millions)</t>
  </si>
  <si>
    <t>Package 1</t>
  </si>
  <si>
    <t>N/A</t>
  </si>
  <si>
    <t>Package 2</t>
  </si>
  <si>
    <t>Package 3</t>
  </si>
  <si>
    <t>Policy #</t>
  </si>
  <si>
    <t>Baseline (%)</t>
  </si>
  <si>
    <t>After (%)</t>
  </si>
  <si>
    <t>0-17 (%)</t>
  </si>
  <si>
    <t>Ages 0-4 (%)</t>
  </si>
  <si>
    <t>White (%)</t>
  </si>
  <si>
    <t>Black (%)</t>
  </si>
  <si>
    <t>Hispanic (%)</t>
  </si>
  <si>
    <t>AAPI (%)</t>
  </si>
  <si>
    <t>Pos Change (#)</t>
  </si>
  <si>
    <t>Pos Change ($)</t>
  </si>
  <si>
    <t>Neg Change (#)</t>
  </si>
  <si>
    <t>Neg Change ($)</t>
  </si>
  <si>
    <t>NYC (%)</t>
  </si>
  <si>
    <t>ROS (%)</t>
  </si>
  <si>
    <t>Baseline ($M)</t>
  </si>
  <si>
    <t>Additional ($M)</t>
  </si>
  <si>
    <t>Cumulative</t>
  </si>
  <si>
    <t>*Using CPRAC-SPM</t>
  </si>
  <si>
    <t>Increase the Public Assistance Basic Allowances for FA-SNA by 50%</t>
  </si>
  <si>
    <t>Remove Public Assistance Durational Sanctions in Areas Using That Policy</t>
  </si>
  <si>
    <t>Remove the Public Assistance Assets Test</t>
  </si>
  <si>
    <t>Increase the Public Assistance Basic Allowances for FA-SNA by 100%</t>
  </si>
  <si>
    <t>Apply the Same Earned Income Disregards for Public Assistance Applicants as for Recipients</t>
  </si>
  <si>
    <t>Increase Max ESCC Amount to $500 for Children 6+, $1000 for Children 6-, Fully Refundable</t>
  </si>
  <si>
    <t>Increase Max ESCC Amount to $1500 for Children 0-17, Fully Refundable</t>
  </si>
  <si>
    <t>Increase Max ESCC Amount $1500 for Children 6+, $2000 for Children 6-, Fully Refundable</t>
  </si>
  <si>
    <t>Make Children with ITINs Fully Eligible for Max ESCC Amount</t>
  </si>
  <si>
    <t>Create a State Food Benefit for Families with Children, No Noncitizen Restrictions</t>
  </si>
  <si>
    <r>
      <t>Create a State Housing Voucher for Unsubsidized Income-Eligible Households,</t>
    </r>
    <r>
      <rPr>
        <vertAlign val="superscript"/>
        <sz val="10"/>
        <color theme="1"/>
        <rFont val="Calibri"/>
        <family val="2"/>
        <scheme val="minor"/>
      </rPr>
      <t xml:space="preserve"> </t>
    </r>
    <r>
      <rPr>
        <sz val="10"/>
        <color theme="1"/>
        <rFont val="Calibri"/>
        <family val="2"/>
        <scheme val="minor"/>
      </rPr>
      <t xml:space="preserve">No Noncitizen Restrictions </t>
    </r>
  </si>
  <si>
    <t>TP 1</t>
  </si>
  <si>
    <t>TP 2</t>
  </si>
  <si>
    <t>TP 3</t>
  </si>
  <si>
    <t>TP 4</t>
  </si>
  <si>
    <t>HP 1</t>
  </si>
  <si>
    <t>PBP 1</t>
  </si>
  <si>
    <t>PBP 2</t>
  </si>
  <si>
    <t>PBP 3</t>
  </si>
  <si>
    <t>PBP 4</t>
  </si>
  <si>
    <t>PBP 5</t>
  </si>
  <si>
    <t>PBP 6</t>
  </si>
  <si>
    <t>TP 2, TP 4, HP 1, PBP 2, PBP 3, PBP 4, PBP 5, PBP 6</t>
  </si>
  <si>
    <t>TP 1, TP 4, HP 1, PBP 2, PBP 3, PBP 4, PBP 5, PBP 6</t>
  </si>
  <si>
    <t>TP 3, TP 4, HP 1, PBP 1, PBP 3, PBP 4, PBP 5, PBP 6</t>
  </si>
  <si>
    <t>Recommended Package 1</t>
  </si>
  <si>
    <t>Recommended Package 2</t>
  </si>
  <si>
    <t>Recommended Package 3</t>
  </si>
  <si>
    <t>Recommended Package Components</t>
  </si>
  <si>
    <t>Combined Policies Package 3</t>
  </si>
  <si>
    <t>People in SPM Poverty by Demographic Characteristics, Under Recommended Packages 1-3, 2019</t>
  </si>
  <si>
    <t>Characteristics of Individuals in SPM Poverty in New York Under Recommended Packages 1-3, 2019</t>
  </si>
  <si>
    <t>Characteristics of Individuals by Race in SPM Poverty in New York Under Recommended Packages 1-3, 2019</t>
  </si>
  <si>
    <t>Characteristics of Families in SPM Poverty in New York Under Recommended Packages 1-3, 2019</t>
  </si>
  <si>
    <t>Changes in Household Resources Under Recommended Packages 1-3, 2019</t>
  </si>
  <si>
    <t>Recommended Package 4</t>
  </si>
  <si>
    <t>Change in Benefit Programs Under Recommended Packages 1-3, 2019</t>
  </si>
  <si>
    <t>Change in Government Costs Under Recommended Packages 1-3, 2019</t>
  </si>
  <si>
    <t xml:space="preserve">Notes: (1) AAPI = Asian American and Pacific Islander. We use the term “Hispanic," as this is the primary terminology used by the US Census Bureau in the American Community Survey, which is the source of household data for this analysis. Survey respondents are asked to report race and ethnicity, including whether or not they identify as being of “Hispanic, Latino, or Spanish origin.”(2) ATTIS does not explicitly model durational sanctions. Simulation PBP 5 captures the approximate impact of the proposed policy change by identifying appropriate families to receive additional benefits, based on the numbers of currently-affected recipients and total sanction amounts provided by OTDA. (3) The state food benefit is the difference between what the SNAP benefit would be if there was full eligibility for all noncitizens (no restrictions based on legal status, no 5-year bar, and no sponsor deeming) and the SNAP benefit under federal rules.  (4) The housing voucher is an entitlement for households with income under 50 percent of Area Median Income who are renting their homes, when their rent is under 108 percent of the Fair Market Rent (FMR).  Although the benefit is an entitlement, we assume that 36 percent of eligible households who do not already have subsidized housing will not be able to use the voucher. Households newly receiving a voucher under this policy are assumed to stay in their current apartment; the value of the subsidy equals their current rent minus the household’s required rental payment.  The aggregate subsidy cost would be higher if households were assumed to move to units with higher rents (up to 108 percent of FMR). (5) There are no restrictions based on citizenship or immigration status. </t>
  </si>
  <si>
    <r>
      <t xml:space="preserve">Remove Public Assistance Durational Sanctions in Areas Using That Policy </t>
    </r>
    <r>
      <rPr>
        <vertAlign val="superscript"/>
        <sz val="10"/>
        <color theme="1"/>
        <rFont val="Calibri"/>
        <family val="2"/>
        <scheme val="minor"/>
      </rPr>
      <t>2</t>
    </r>
  </si>
  <si>
    <r>
      <t xml:space="preserve">Create a State Food Benefit for Families with Children, No Noncitizen Restrictions </t>
    </r>
    <r>
      <rPr>
        <vertAlign val="superscript"/>
        <sz val="10"/>
        <color rgb="FF000000"/>
        <rFont val="Calibri"/>
        <family val="2"/>
      </rPr>
      <t>3</t>
    </r>
  </si>
  <si>
    <r>
      <t>Create a State Housing Voucher for Unsubsidized Income-Eligible Households,</t>
    </r>
    <r>
      <rPr>
        <vertAlign val="superscript"/>
        <sz val="10"/>
        <color theme="1"/>
        <rFont val="Calibri"/>
        <family val="2"/>
        <scheme val="minor"/>
      </rPr>
      <t>4</t>
    </r>
    <r>
      <rPr>
        <sz val="10"/>
        <color theme="1"/>
        <rFont val="Calibri"/>
        <family val="2"/>
        <scheme val="minor"/>
      </rPr>
      <t xml:space="preserve"> </t>
    </r>
    <r>
      <rPr>
        <vertAlign val="superscript"/>
        <sz val="10"/>
        <color theme="1"/>
        <rFont val="Calibri"/>
        <family val="2"/>
        <scheme val="minor"/>
      </rPr>
      <t xml:space="preserve"> </t>
    </r>
    <r>
      <rPr>
        <sz val="10"/>
        <color theme="1"/>
        <rFont val="Calibri"/>
        <family val="2"/>
        <scheme val="minor"/>
      </rPr>
      <t>No Noncitizen Restrictions</t>
    </r>
    <r>
      <rPr>
        <vertAlign val="superscript"/>
        <sz val="10"/>
        <color theme="1"/>
        <rFont val="Calibri"/>
        <family val="2"/>
        <scheme val="minor"/>
      </rPr>
      <t xml:space="preserve"> 5</t>
    </r>
  </si>
  <si>
    <t>Package #</t>
  </si>
  <si>
    <t>13.1%</t>
  </si>
  <si>
    <t xml:space="preserve"> $738 </t>
  </si>
  <si>
    <t>10.0%</t>
  </si>
  <si>
    <t>-23.2%</t>
  </si>
  <si>
    <t>-25.4%</t>
  </si>
  <si>
    <t>-24.3%</t>
  </si>
  <si>
    <t>-25.0%</t>
  </si>
  <si>
    <t>-21.5%</t>
  </si>
  <si>
    <t>-15.3%</t>
  </si>
  <si>
    <t>1,539</t>
  </si>
  <si>
    <t>0</t>
  </si>
  <si>
    <t>-8.6%</t>
  </si>
  <si>
    <t>-8.3%</t>
  </si>
  <si>
    <t xml:space="preserve"> $3,228 </t>
  </si>
  <si>
    <t xml:space="preserve">$2,075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</si>
</sst>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quot;$&quot;* #,##0_);_(&quot;$&quot;* \(#,##0\);_(&quot;$&quot;* &quot;-&quot;_);_(@_)"/>
    <numFmt numFmtId="44" formatCode="_(&quot;$&quot;* #,##0.00_);_(&quot;$&quot;* \(#,##0.00\);_(&quot;$&quot;* &quot;-&quot;??_);_(@_)"/>
    <numFmt numFmtId="164" formatCode="0.0%"/>
    <numFmt numFmtId="165" formatCode="&quot;$&quot;#,##0"/>
    <numFmt numFmtId="166" formatCode="0.0"/>
    <numFmt numFmtId="167" formatCode="0.00000"/>
    <numFmt numFmtId="168" formatCode="&quot;$&quot;#,##0.0"/>
    <numFmt numFmtId="169" formatCode="#,##0.0"/>
    <numFmt numFmtId="170" formatCode="_(&quot;$&quot;* #,##0_);_(&quot;$&quot;* \(#,##0\);_(&quot;$&quot;* &quot;-&quot;??_);_(@_)"/>
  </numFmts>
  <fonts count="22"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1"/>
      <color theme="1"/>
      <name val="Calibri"/>
      <family val="2"/>
      <scheme val="minor"/>
    </font>
    <font>
      <sz val="10"/>
      <name val="Calibri"/>
      <family val="2"/>
      <scheme val="minor"/>
    </font>
    <font>
      <b/>
      <sz val="10"/>
      <name val="Calibri"/>
      <family val="2"/>
      <scheme val="minor"/>
    </font>
    <font>
      <vertAlign val="superscript"/>
      <sz val="10"/>
      <name val="Calibri"/>
      <family val="2"/>
      <scheme val="minor"/>
    </font>
    <font>
      <i/>
      <sz val="10"/>
      <name val="Calibri"/>
      <family val="2"/>
      <scheme val="minor"/>
    </font>
    <font>
      <sz val="10"/>
      <color rgb="FF000000"/>
      <name val="Calibri"/>
      <family val="2"/>
    </font>
    <font>
      <sz val="10"/>
      <name val="Calibri"/>
      <family val="2"/>
    </font>
    <font>
      <b/>
      <sz val="11"/>
      <color theme="1"/>
      <name val="Calibri"/>
      <family val="2"/>
      <scheme val="minor"/>
    </font>
    <font>
      <sz val="11"/>
      <color rgb="FF000000"/>
      <name val="Calibri"/>
      <family val="2"/>
    </font>
    <font>
      <b/>
      <sz val="10"/>
      <color rgb="FF000000"/>
      <name val="Calibri"/>
      <family val="2"/>
    </font>
    <font>
      <vertAlign val="superscript"/>
      <sz val="11"/>
      <color theme="1"/>
      <name val="Calibri"/>
      <family val="2"/>
      <scheme val="minor"/>
    </font>
    <font>
      <b/>
      <sz val="11"/>
      <color rgb="FF000000"/>
      <name val="Calibri"/>
      <family val="2"/>
    </font>
    <font>
      <i/>
      <sz val="10"/>
      <color rgb="FF000000"/>
      <name val="Calibri"/>
      <family val="2"/>
    </font>
    <font>
      <b/>
      <sz val="10"/>
      <color rgb="FFFF0000"/>
      <name val="Calibri"/>
      <family val="2"/>
      <scheme val="minor"/>
    </font>
    <font>
      <b/>
      <sz val="10"/>
      <name val="Calibri"/>
      <family val="2"/>
    </font>
    <font>
      <vertAlign val="superscript"/>
      <sz val="10"/>
      <color rgb="FF000000"/>
      <name val="Calibri"/>
      <family val="2"/>
    </font>
    <font>
      <sz val="10"/>
      <color rgb="FF000000"/>
      <name val="Calibri"/>
    </font>
    <font>
      <sz val="8"/>
      <name val="Calibri"/>
      <family val="2"/>
      <scheme val="minor"/>
    </font>
  </fonts>
  <fills count="23">
    <fill>
      <patternFill patternType="none"/>
    </fill>
    <fill>
      <patternFill patternType="gray125"/>
    </fill>
    <fill>
      <patternFill patternType="solid">
        <fgColor rgb="FFE7E6E6"/>
        <bgColor rgb="FF000000"/>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
      <patternFill patternType="solid">
        <fgColor rgb="FFD0CECE"/>
        <bgColor rgb="FF000000"/>
      </patternFill>
    </fill>
    <fill>
      <patternFill patternType="solid">
        <fgColor theme="2" tint="-9.9978637043366805E-2"/>
        <bgColor indexed="64"/>
      </patternFill>
    </fill>
    <fill>
      <patternFill patternType="solid">
        <fgColor rgb="FFDDEBF7"/>
        <bgColor rgb="FF000000"/>
      </patternFill>
    </fill>
    <fill>
      <patternFill patternType="solid">
        <fgColor rgb="FF9BC2E6"/>
        <bgColor rgb="FF000000"/>
      </patternFill>
    </fill>
    <fill>
      <patternFill patternType="solid">
        <fgColor theme="8" tint="0.39997558519241921"/>
        <bgColor indexed="64"/>
      </patternFill>
    </fill>
    <fill>
      <patternFill patternType="solid">
        <fgColor rgb="FFB4C6E7"/>
        <bgColor rgb="FF000000"/>
      </patternFill>
    </fill>
    <fill>
      <patternFill patternType="solid">
        <fgColor theme="4" tint="0.59999389629810485"/>
        <bgColor indexed="64"/>
      </patternFill>
    </fill>
    <fill>
      <patternFill patternType="solid">
        <fgColor rgb="FFFFE699"/>
        <bgColor rgb="FF000000"/>
      </patternFill>
    </fill>
    <fill>
      <patternFill patternType="solid">
        <fgColor theme="7" tint="0.59999389629810485"/>
        <bgColor indexed="64"/>
      </patternFill>
    </fill>
    <fill>
      <patternFill patternType="solid">
        <fgColor rgb="FFBDD7EE"/>
        <bgColor rgb="FF000000"/>
      </patternFill>
    </fill>
    <fill>
      <patternFill patternType="solid">
        <fgColor theme="8" tint="0.59999389629810485"/>
        <bgColor indexed="64"/>
      </patternFill>
    </fill>
    <fill>
      <patternFill patternType="solid">
        <fgColor theme="0" tint="-4.9989318521683403E-2"/>
        <bgColor indexed="64"/>
      </patternFill>
    </fill>
  </fills>
  <borders count="27">
    <border>
      <left/>
      <right/>
      <top/>
      <bottom/>
      <diagonal/>
    </border>
    <border>
      <left/>
      <right/>
      <top/>
      <bottom style="medium">
        <color indexed="64"/>
      </bottom>
      <diagonal/>
    </border>
    <border>
      <left/>
      <right/>
      <top style="medium">
        <color auto="1"/>
      </top>
      <bottom/>
      <diagonal/>
    </border>
    <border>
      <left/>
      <right/>
      <top style="thin">
        <color indexed="64"/>
      </top>
      <bottom style="medium">
        <color indexed="64"/>
      </bottom>
      <diagonal/>
    </border>
    <border>
      <left style="thin">
        <color auto="1"/>
      </left>
      <right style="thin">
        <color auto="1"/>
      </right>
      <top/>
      <bottom style="medium">
        <color auto="1"/>
      </bottom>
      <diagonal/>
    </border>
    <border>
      <left style="thin">
        <color auto="1"/>
      </left>
      <right/>
      <top/>
      <bottom style="medium">
        <color indexed="64"/>
      </bottom>
      <diagonal/>
    </border>
    <border>
      <left/>
      <right style="thin">
        <color auto="1"/>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auto="1"/>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bottom/>
      <diagonal/>
    </border>
    <border>
      <left/>
      <right/>
      <top style="thin">
        <color indexed="64"/>
      </top>
      <bottom/>
      <diagonal/>
    </border>
  </borders>
  <cellStyleXfs count="3">
    <xf numFmtId="0" fontId="0" fillId="0" borderId="0"/>
    <xf numFmtId="9" fontId="4" fillId="0" borderId="0" applyFont="0" applyFill="0" applyBorder="0" applyAlignment="0" applyProtection="0"/>
    <xf numFmtId="44" fontId="4" fillId="0" borderId="0" applyFont="0" applyFill="0" applyBorder="0" applyAlignment="0" applyProtection="0"/>
  </cellStyleXfs>
  <cellXfs count="470">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horizontal="left" indent="3"/>
    </xf>
    <xf numFmtId="0" fontId="1" fillId="0" borderId="0" xfId="0" applyFont="1" applyAlignment="1">
      <alignment horizontal="left" indent="4"/>
    </xf>
    <xf numFmtId="0" fontId="1" fillId="0" borderId="0" xfId="0" applyFont="1" applyAlignment="1">
      <alignment horizontal="left"/>
    </xf>
    <xf numFmtId="0" fontId="1" fillId="0" borderId="1" xfId="0" applyFont="1" applyBorder="1" applyAlignment="1">
      <alignment horizontal="left" indent="1"/>
    </xf>
    <xf numFmtId="0" fontId="1" fillId="0" borderId="0" xfId="0" applyFont="1" applyAlignment="1">
      <alignment wrapText="1"/>
    </xf>
    <xf numFmtId="0" fontId="1" fillId="0" borderId="0" xfId="0" applyFont="1" applyAlignment="1">
      <alignment horizontal="left" indent="2"/>
    </xf>
    <xf numFmtId="0" fontId="1" fillId="0" borderId="0" xfId="0" applyFont="1" applyAlignment="1">
      <alignment horizontal="left" indent="6"/>
    </xf>
    <xf numFmtId="0" fontId="1" fillId="0" borderId="1" xfId="0" applyFont="1" applyBorder="1" applyAlignment="1">
      <alignment horizontal="left" indent="4"/>
    </xf>
    <xf numFmtId="0" fontId="1" fillId="0" borderId="0" xfId="0" applyFont="1" applyAlignment="1">
      <alignment horizontal="left" wrapText="1" indent="2"/>
    </xf>
    <xf numFmtId="0" fontId="1" fillId="0" borderId="1" xfId="0" applyFont="1" applyBorder="1" applyAlignment="1">
      <alignment horizontal="left" indent="6"/>
    </xf>
    <xf numFmtId="0" fontId="1" fillId="0" borderId="0" xfId="0" applyFont="1" applyAlignment="1">
      <alignment horizontal="center"/>
    </xf>
    <xf numFmtId="3" fontId="1" fillId="0" borderId="0" xfId="0" applyNumberFormat="1" applyFont="1" applyAlignment="1">
      <alignment horizontal="center"/>
    </xf>
    <xf numFmtId="0" fontId="5" fillId="0" borderId="0" xfId="0" applyFont="1" applyAlignment="1">
      <alignment horizontal="center"/>
    </xf>
    <xf numFmtId="0" fontId="1" fillId="0" borderId="0" xfId="0" applyFont="1" applyAlignment="1">
      <alignment horizontal="left" wrapText="1"/>
    </xf>
    <xf numFmtId="0" fontId="5" fillId="0" borderId="0" xfId="0" applyFont="1" applyAlignment="1">
      <alignment vertical="top" wrapText="1"/>
    </xf>
    <xf numFmtId="0" fontId="6" fillId="0" borderId="0" xfId="0" applyFont="1"/>
    <xf numFmtId="0" fontId="6" fillId="0" borderId="0" xfId="0" applyFont="1" applyAlignment="1">
      <alignment horizontal="center"/>
    </xf>
    <xf numFmtId="0" fontId="5" fillId="0" borderId="0" xfId="0" applyFont="1"/>
    <xf numFmtId="0" fontId="5" fillId="0" borderId="1" xfId="0" applyFont="1" applyBorder="1"/>
    <xf numFmtId="0" fontId="8" fillId="0" borderId="0" xfId="0" applyFont="1" applyAlignment="1">
      <alignment horizontal="center"/>
    </xf>
    <xf numFmtId="0" fontId="8" fillId="0" borderId="0" xfId="0" applyFont="1"/>
    <xf numFmtId="0" fontId="8" fillId="0" borderId="0" xfId="0" applyFont="1" applyAlignment="1">
      <alignment vertical="top"/>
    </xf>
    <xf numFmtId="0" fontId="11" fillId="0" borderId="7" xfId="0" applyFont="1" applyBorder="1"/>
    <xf numFmtId="0" fontId="11" fillId="0" borderId="8" xfId="0" applyFont="1" applyBorder="1"/>
    <xf numFmtId="164" fontId="13" fillId="0" borderId="9" xfId="1" applyNumberFormat="1" applyFont="1" applyFill="1" applyBorder="1" applyAlignment="1">
      <alignment horizontal="center" vertical="center" wrapText="1"/>
    </xf>
    <xf numFmtId="0" fontId="9" fillId="2" borderId="10" xfId="0" applyFont="1" applyFill="1" applyBorder="1"/>
    <xf numFmtId="0" fontId="9" fillId="2" borderId="11" xfId="0" applyFont="1" applyFill="1" applyBorder="1"/>
    <xf numFmtId="164" fontId="9" fillId="2" borderId="9" xfId="1" applyNumberFormat="1" applyFont="1" applyFill="1" applyBorder="1" applyAlignment="1">
      <alignment horizontal="center"/>
    </xf>
    <xf numFmtId="3" fontId="9" fillId="2" borderId="9" xfId="0" applyNumberFormat="1" applyFont="1" applyFill="1" applyBorder="1" applyAlignment="1">
      <alignment horizontal="center"/>
    </xf>
    <xf numFmtId="170" fontId="9" fillId="2" borderId="9" xfId="2" applyNumberFormat="1" applyFont="1" applyFill="1" applyBorder="1" applyAlignment="1">
      <alignment horizontal="center"/>
    </xf>
    <xf numFmtId="3" fontId="1" fillId="3" borderId="10" xfId="0" applyNumberFormat="1" applyFont="1" applyFill="1" applyBorder="1" applyAlignment="1">
      <alignment horizontal="center"/>
    </xf>
    <xf numFmtId="0" fontId="0" fillId="4" borderId="10" xfId="0" applyFill="1" applyBorder="1"/>
    <xf numFmtId="164" fontId="12" fillId="4" borderId="9" xfId="1" applyNumberFormat="1" applyFont="1" applyFill="1" applyBorder="1" applyAlignment="1">
      <alignment horizontal="center" vertical="center" wrapText="1"/>
    </xf>
    <xf numFmtId="164" fontId="4" fillId="4" borderId="10" xfId="1" applyNumberFormat="1" applyFont="1" applyFill="1" applyBorder="1" applyAlignment="1">
      <alignment horizontal="center"/>
    </xf>
    <xf numFmtId="164" fontId="11" fillId="4" borderId="10" xfId="0" applyNumberFormat="1" applyFont="1" applyFill="1" applyBorder="1" applyAlignment="1">
      <alignment horizontal="center"/>
    </xf>
    <xf numFmtId="164" fontId="0" fillId="4" borderId="10" xfId="0" applyNumberFormat="1" applyFill="1" applyBorder="1" applyAlignment="1">
      <alignment horizontal="center"/>
    </xf>
    <xf numFmtId="1" fontId="0" fillId="4" borderId="10" xfId="0" applyNumberFormat="1" applyFill="1" applyBorder="1" applyAlignment="1">
      <alignment horizontal="center"/>
    </xf>
    <xf numFmtId="170" fontId="0" fillId="4" borderId="10" xfId="0" applyNumberFormat="1" applyFill="1" applyBorder="1" applyAlignment="1">
      <alignment horizontal="center"/>
    </xf>
    <xf numFmtId="166" fontId="0" fillId="4" borderId="10" xfId="0" applyNumberFormat="1" applyFill="1" applyBorder="1" applyAlignment="1">
      <alignment horizontal="center"/>
    </xf>
    <xf numFmtId="44" fontId="0" fillId="4" borderId="10" xfId="0" applyNumberFormat="1" applyFill="1" applyBorder="1" applyAlignment="1">
      <alignment horizontal="center"/>
    </xf>
    <xf numFmtId="170" fontId="11" fillId="4" borderId="9" xfId="0" applyNumberFormat="1" applyFont="1" applyFill="1" applyBorder="1"/>
    <xf numFmtId="0" fontId="11" fillId="0" borderId="0" xfId="0" applyFont="1"/>
    <xf numFmtId="0" fontId="0" fillId="5" borderId="10" xfId="0" applyFill="1" applyBorder="1"/>
    <xf numFmtId="164" fontId="9" fillId="5" borderId="9" xfId="1" applyNumberFormat="1" applyFont="1" applyFill="1" applyBorder="1" applyAlignment="1">
      <alignment horizontal="center" vertical="center" wrapText="1"/>
    </xf>
    <xf numFmtId="164" fontId="4" fillId="5" borderId="10" xfId="1" applyNumberFormat="1" applyFont="1" applyFill="1" applyBorder="1" applyAlignment="1">
      <alignment horizontal="center"/>
    </xf>
    <xf numFmtId="164" fontId="11" fillId="5" borderId="10" xfId="0" applyNumberFormat="1" applyFont="1" applyFill="1" applyBorder="1" applyAlignment="1">
      <alignment horizontal="center"/>
    </xf>
    <xf numFmtId="164" fontId="0" fillId="5" borderId="10" xfId="0" applyNumberFormat="1" applyFill="1" applyBorder="1" applyAlignment="1">
      <alignment horizontal="center"/>
    </xf>
    <xf numFmtId="1" fontId="0" fillId="5" borderId="10" xfId="0" applyNumberFormat="1" applyFill="1" applyBorder="1" applyAlignment="1">
      <alignment horizontal="center"/>
    </xf>
    <xf numFmtId="170" fontId="0" fillId="5" borderId="10" xfId="0" applyNumberFormat="1" applyFill="1" applyBorder="1" applyAlignment="1">
      <alignment horizontal="center"/>
    </xf>
    <xf numFmtId="166" fontId="0" fillId="5" borderId="10" xfId="0" applyNumberFormat="1" applyFill="1" applyBorder="1" applyAlignment="1">
      <alignment horizontal="center"/>
    </xf>
    <xf numFmtId="44" fontId="0" fillId="5" borderId="10" xfId="0" applyNumberFormat="1" applyFill="1" applyBorder="1" applyAlignment="1">
      <alignment horizontal="center"/>
    </xf>
    <xf numFmtId="170" fontId="11" fillId="5" borderId="9" xfId="0" applyNumberFormat="1" applyFont="1" applyFill="1" applyBorder="1"/>
    <xf numFmtId="0" fontId="0" fillId="6" borderId="10" xfId="0" applyFill="1" applyBorder="1"/>
    <xf numFmtId="164" fontId="9" fillId="6" borderId="9" xfId="1" applyNumberFormat="1" applyFont="1" applyFill="1" applyBorder="1" applyAlignment="1">
      <alignment horizontal="center" vertical="center" wrapText="1"/>
    </xf>
    <xf numFmtId="164" fontId="4" fillId="6" borderId="10" xfId="1" applyNumberFormat="1" applyFont="1" applyFill="1" applyBorder="1" applyAlignment="1">
      <alignment horizontal="center"/>
    </xf>
    <xf numFmtId="164" fontId="11" fillId="6" borderId="10" xfId="1" applyNumberFormat="1" applyFont="1" applyFill="1" applyBorder="1" applyAlignment="1">
      <alignment horizontal="center"/>
    </xf>
    <xf numFmtId="1" fontId="0" fillId="6" borderId="10" xfId="0" applyNumberFormat="1" applyFill="1" applyBorder="1" applyAlignment="1">
      <alignment horizontal="center"/>
    </xf>
    <xf numFmtId="170" fontId="0" fillId="6" borderId="10" xfId="0" applyNumberFormat="1" applyFill="1" applyBorder="1" applyAlignment="1">
      <alignment horizontal="center"/>
    </xf>
    <xf numFmtId="166" fontId="0" fillId="6" borderId="10" xfId="0" applyNumberFormat="1" applyFill="1" applyBorder="1" applyAlignment="1">
      <alignment horizontal="center"/>
    </xf>
    <xf numFmtId="44" fontId="0" fillId="6" borderId="10" xfId="0" applyNumberFormat="1" applyFill="1" applyBorder="1" applyAlignment="1">
      <alignment horizontal="center"/>
    </xf>
    <xf numFmtId="170" fontId="11" fillId="6" borderId="9" xfId="0" applyNumberFormat="1" applyFont="1" applyFill="1" applyBorder="1"/>
    <xf numFmtId="170" fontId="0" fillId="0" borderId="0" xfId="0" applyNumberFormat="1" applyAlignment="1">
      <alignment horizontal="center"/>
    </xf>
    <xf numFmtId="170" fontId="0" fillId="0" borderId="0" xfId="0" applyNumberFormat="1"/>
    <xf numFmtId="0" fontId="11" fillId="0" borderId="12" xfId="0" applyFont="1" applyBorder="1"/>
    <xf numFmtId="0" fontId="11" fillId="0" borderId="9" xfId="0" applyFont="1" applyBorder="1" applyAlignment="1">
      <alignment horizontal="center"/>
    </xf>
    <xf numFmtId="170" fontId="11" fillId="0" borderId="9" xfId="0" applyNumberFormat="1" applyFont="1" applyBorder="1" applyAlignment="1">
      <alignment horizontal="center"/>
    </xf>
    <xf numFmtId="44" fontId="11" fillId="0" borderId="9" xfId="0" applyNumberFormat="1" applyFont="1" applyBorder="1" applyAlignment="1">
      <alignment horizontal="center"/>
    </xf>
    <xf numFmtId="0" fontId="9" fillId="2" borderId="12" xfId="0" applyFont="1" applyFill="1" applyBorder="1"/>
    <xf numFmtId="164" fontId="9" fillId="2" borderId="12" xfId="1" applyNumberFormat="1" applyFont="1" applyFill="1" applyBorder="1" applyAlignment="1">
      <alignment horizontal="center"/>
    </xf>
    <xf numFmtId="3" fontId="9" fillId="2" borderId="12" xfId="0" applyNumberFormat="1" applyFont="1" applyFill="1" applyBorder="1" applyAlignment="1">
      <alignment horizontal="center"/>
    </xf>
    <xf numFmtId="170" fontId="9" fillId="2" borderId="12" xfId="2" applyNumberFormat="1" applyFont="1" applyFill="1" applyBorder="1" applyAlignment="1">
      <alignment horizontal="center"/>
    </xf>
    <xf numFmtId="3" fontId="1" fillId="3" borderId="12" xfId="0" applyNumberFormat="1" applyFont="1" applyFill="1" applyBorder="1" applyAlignment="1">
      <alignment horizontal="center"/>
    </xf>
    <xf numFmtId="44" fontId="1" fillId="3" borderId="12" xfId="0" applyNumberFormat="1" applyFont="1" applyFill="1" applyBorder="1" applyAlignment="1">
      <alignment horizontal="center"/>
    </xf>
    <xf numFmtId="170" fontId="9" fillId="2" borderId="13" xfId="2" applyNumberFormat="1" applyFont="1" applyFill="1" applyBorder="1" applyAlignment="1">
      <alignment horizontal="center"/>
    </xf>
    <xf numFmtId="0" fontId="9" fillId="7" borderId="12" xfId="0" applyFont="1" applyFill="1" applyBorder="1"/>
    <xf numFmtId="0" fontId="1" fillId="8" borderId="12" xfId="0" applyFont="1" applyFill="1" applyBorder="1" applyAlignment="1">
      <alignment horizontal="left" wrapText="1"/>
    </xf>
    <xf numFmtId="164" fontId="9" fillId="9" borderId="12" xfId="1" applyNumberFormat="1" applyFont="1" applyFill="1" applyBorder="1" applyAlignment="1">
      <alignment horizontal="center"/>
    </xf>
    <xf numFmtId="1" fontId="9" fillId="9" borderId="12" xfId="1" applyNumberFormat="1" applyFont="1" applyFill="1" applyBorder="1" applyAlignment="1">
      <alignment horizontal="center"/>
    </xf>
    <xf numFmtId="170" fontId="9" fillId="9" borderId="12" xfId="1" applyNumberFormat="1" applyFont="1" applyFill="1" applyBorder="1" applyAlignment="1">
      <alignment horizontal="center"/>
    </xf>
    <xf numFmtId="169" fontId="9" fillId="8" borderId="12" xfId="0" applyNumberFormat="1" applyFont="1" applyFill="1" applyBorder="1" applyAlignment="1">
      <alignment horizontal="center"/>
    </xf>
    <xf numFmtId="44" fontId="9" fillId="8" borderId="12" xfId="0" applyNumberFormat="1" applyFont="1" applyFill="1" applyBorder="1" applyAlignment="1">
      <alignment horizontal="center"/>
    </xf>
    <xf numFmtId="170" fontId="9" fillId="9" borderId="13" xfId="2" applyNumberFormat="1" applyFont="1" applyFill="1" applyBorder="1"/>
    <xf numFmtId="0" fontId="9" fillId="2" borderId="12" xfId="0" applyFont="1" applyFill="1" applyBorder="1" applyAlignment="1">
      <alignment horizontal="left" wrapText="1"/>
    </xf>
    <xf numFmtId="166" fontId="9" fillId="2" borderId="12" xfId="1" applyNumberFormat="1" applyFont="1" applyFill="1" applyBorder="1" applyAlignment="1">
      <alignment horizontal="center"/>
    </xf>
    <xf numFmtId="170" fontId="9" fillId="2" borderId="12" xfId="1" applyNumberFormat="1" applyFont="1" applyFill="1" applyBorder="1" applyAlignment="1">
      <alignment horizontal="center"/>
    </xf>
    <xf numFmtId="3" fontId="1" fillId="10" borderId="12" xfId="0" applyNumberFormat="1" applyFont="1" applyFill="1" applyBorder="1" applyAlignment="1">
      <alignment horizontal="center"/>
    </xf>
    <xf numFmtId="44" fontId="1" fillId="10" borderId="12" xfId="0" applyNumberFormat="1" applyFont="1" applyFill="1" applyBorder="1" applyAlignment="1">
      <alignment horizontal="center"/>
    </xf>
    <xf numFmtId="170" fontId="9" fillId="2" borderId="13" xfId="2" applyNumberFormat="1" applyFont="1" applyFill="1" applyBorder="1"/>
    <xf numFmtId="0" fontId="9" fillId="11" borderId="12" xfId="0" applyFont="1" applyFill="1" applyBorder="1" applyAlignment="1">
      <alignment horizontal="left" wrapText="1"/>
    </xf>
    <xf numFmtId="164" fontId="9" fillId="11" borderId="12" xfId="1" applyNumberFormat="1" applyFont="1" applyFill="1" applyBorder="1" applyAlignment="1">
      <alignment horizontal="center"/>
    </xf>
    <xf numFmtId="166" fontId="9" fillId="11" borderId="12" xfId="1" applyNumberFormat="1" applyFont="1" applyFill="1" applyBorder="1" applyAlignment="1">
      <alignment horizontal="center"/>
    </xf>
    <xf numFmtId="170" fontId="9" fillId="11" borderId="12" xfId="1" applyNumberFormat="1" applyFont="1" applyFill="1" applyBorder="1" applyAlignment="1">
      <alignment horizontal="center"/>
    </xf>
    <xf numFmtId="3" fontId="1" fillId="12" borderId="12" xfId="0" applyNumberFormat="1" applyFont="1" applyFill="1" applyBorder="1" applyAlignment="1">
      <alignment horizontal="center"/>
    </xf>
    <xf numFmtId="44" fontId="1" fillId="12" borderId="12" xfId="0" applyNumberFormat="1" applyFont="1" applyFill="1" applyBorder="1" applyAlignment="1">
      <alignment horizontal="center"/>
    </xf>
    <xf numFmtId="170" fontId="9" fillId="11" borderId="13" xfId="2" applyNumberFormat="1" applyFont="1" applyFill="1" applyBorder="1"/>
    <xf numFmtId="0" fontId="9" fillId="13" borderId="12" xfId="0" applyFont="1" applyFill="1" applyBorder="1" applyAlignment="1">
      <alignment horizontal="left" wrapText="1"/>
    </xf>
    <xf numFmtId="164" fontId="9" fillId="13" borderId="12" xfId="1" applyNumberFormat="1" applyFont="1" applyFill="1" applyBorder="1" applyAlignment="1">
      <alignment horizontal="center"/>
    </xf>
    <xf numFmtId="1" fontId="9" fillId="13" borderId="12" xfId="1" applyNumberFormat="1" applyFont="1" applyFill="1" applyBorder="1" applyAlignment="1">
      <alignment horizontal="center"/>
    </xf>
    <xf numFmtId="170" fontId="9" fillId="13" borderId="12" xfId="1" applyNumberFormat="1" applyFont="1" applyFill="1" applyBorder="1" applyAlignment="1">
      <alignment horizontal="center"/>
    </xf>
    <xf numFmtId="3" fontId="1" fillId="5" borderId="12" xfId="0" applyNumberFormat="1" applyFont="1" applyFill="1" applyBorder="1" applyAlignment="1">
      <alignment horizontal="center"/>
    </xf>
    <xf numFmtId="44" fontId="1" fillId="5" borderId="12" xfId="0" applyNumberFormat="1" applyFont="1" applyFill="1" applyBorder="1" applyAlignment="1">
      <alignment horizontal="center"/>
    </xf>
    <xf numFmtId="170" fontId="9" fillId="13" borderId="13" xfId="2" applyNumberFormat="1" applyFont="1" applyFill="1" applyBorder="1"/>
    <xf numFmtId="0" fontId="9" fillId="14" borderId="12" xfId="0" applyFont="1" applyFill="1" applyBorder="1" applyAlignment="1">
      <alignment horizontal="left" wrapText="1"/>
    </xf>
    <xf numFmtId="164" fontId="9" fillId="14" borderId="12" xfId="1" applyNumberFormat="1" applyFont="1" applyFill="1" applyBorder="1" applyAlignment="1">
      <alignment horizontal="center"/>
    </xf>
    <xf numFmtId="1" fontId="9" fillId="14" borderId="12" xfId="1" applyNumberFormat="1" applyFont="1" applyFill="1" applyBorder="1" applyAlignment="1">
      <alignment horizontal="center"/>
    </xf>
    <xf numFmtId="170" fontId="9" fillId="14" borderId="12" xfId="1" applyNumberFormat="1" applyFont="1" applyFill="1" applyBorder="1" applyAlignment="1">
      <alignment horizontal="center"/>
    </xf>
    <xf numFmtId="3" fontId="1" fillId="15" borderId="12" xfId="0" applyNumberFormat="1" applyFont="1" applyFill="1" applyBorder="1" applyAlignment="1">
      <alignment horizontal="center" vertical="center"/>
    </xf>
    <xf numFmtId="44" fontId="1" fillId="15" borderId="12" xfId="0" applyNumberFormat="1" applyFont="1" applyFill="1" applyBorder="1" applyAlignment="1">
      <alignment horizontal="center" vertical="center"/>
    </xf>
    <xf numFmtId="170" fontId="9" fillId="14" borderId="13" xfId="2" applyNumberFormat="1" applyFont="1" applyFill="1" applyBorder="1"/>
    <xf numFmtId="0" fontId="9" fillId="16" borderId="12" xfId="0" applyFont="1" applyFill="1" applyBorder="1" applyAlignment="1">
      <alignment horizontal="left" wrapText="1"/>
    </xf>
    <xf numFmtId="164" fontId="9" fillId="17" borderId="12" xfId="1" applyNumberFormat="1" applyFont="1" applyFill="1" applyBorder="1" applyAlignment="1">
      <alignment horizontal="center" vertical="center" wrapText="1"/>
    </xf>
    <xf numFmtId="164" fontId="9" fillId="17" borderId="12" xfId="0" applyNumberFormat="1" applyFont="1" applyFill="1" applyBorder="1" applyAlignment="1">
      <alignment horizontal="center" vertical="center" wrapText="1"/>
    </xf>
    <xf numFmtId="166" fontId="9" fillId="17" borderId="12" xfId="0" applyNumberFormat="1" applyFont="1" applyFill="1" applyBorder="1" applyAlignment="1">
      <alignment horizontal="center" vertical="center" wrapText="1"/>
    </xf>
    <xf numFmtId="170" fontId="9" fillId="17" borderId="12" xfId="2" applyNumberFormat="1" applyFont="1" applyFill="1" applyBorder="1" applyAlignment="1">
      <alignment horizontal="center" vertical="center" wrapText="1"/>
    </xf>
    <xf numFmtId="1" fontId="9" fillId="17" borderId="12" xfId="2" applyNumberFormat="1" applyFont="1" applyFill="1" applyBorder="1" applyAlignment="1">
      <alignment horizontal="center" vertical="center" wrapText="1"/>
    </xf>
    <xf numFmtId="44" fontId="1" fillId="17" borderId="12" xfId="0" applyNumberFormat="1" applyFont="1" applyFill="1" applyBorder="1" applyAlignment="1">
      <alignment horizontal="center"/>
    </xf>
    <xf numFmtId="170" fontId="9" fillId="17" borderId="12" xfId="0" applyNumberFormat="1" applyFont="1" applyFill="1" applyBorder="1" applyAlignment="1">
      <alignment horizontal="center" vertical="center" wrapText="1"/>
    </xf>
    <xf numFmtId="170" fontId="9" fillId="17" borderId="13" xfId="2" applyNumberFormat="1" applyFont="1" applyFill="1" applyBorder="1" applyAlignment="1">
      <alignment horizontal="center" vertical="center" wrapText="1"/>
    </xf>
    <xf numFmtId="0" fontId="11" fillId="0" borderId="10" xfId="0" applyFont="1" applyBorder="1"/>
    <xf numFmtId="164" fontId="15" fillId="0" borderId="9" xfId="1" applyNumberFormat="1" applyFont="1" applyFill="1" applyBorder="1" applyAlignment="1">
      <alignment horizontal="center" vertical="center" wrapText="1"/>
    </xf>
    <xf numFmtId="164" fontId="11" fillId="0" borderId="10" xfId="1" applyNumberFormat="1" applyFont="1" applyBorder="1" applyAlignment="1">
      <alignment horizontal="center"/>
    </xf>
    <xf numFmtId="164" fontId="11" fillId="0" borderId="10" xfId="0" applyNumberFormat="1" applyFont="1" applyBorder="1" applyAlignment="1">
      <alignment horizontal="center"/>
    </xf>
    <xf numFmtId="3" fontId="11" fillId="0" borderId="10" xfId="0" applyNumberFormat="1" applyFont="1" applyBorder="1" applyAlignment="1">
      <alignment horizontal="center"/>
    </xf>
    <xf numFmtId="170" fontId="11" fillId="0" borderId="10" xfId="0" applyNumberFormat="1" applyFont="1" applyBorder="1" applyAlignment="1">
      <alignment horizontal="center"/>
    </xf>
    <xf numFmtId="166" fontId="11" fillId="0" borderId="10" xfId="0" applyNumberFormat="1" applyFont="1" applyBorder="1" applyAlignment="1">
      <alignment horizontal="center"/>
    </xf>
    <xf numFmtId="44" fontId="11" fillId="0" borderId="10" xfId="0" applyNumberFormat="1" applyFont="1" applyBorder="1" applyAlignment="1">
      <alignment horizontal="center"/>
    </xf>
    <xf numFmtId="170" fontId="11" fillId="0" borderId="9" xfId="0" applyNumberFormat="1" applyFont="1" applyBorder="1"/>
    <xf numFmtId="44" fontId="0" fillId="0" borderId="0" xfId="0" applyNumberFormat="1"/>
    <xf numFmtId="0" fontId="11" fillId="0" borderId="9" xfId="0" applyFont="1" applyBorder="1"/>
    <xf numFmtId="164" fontId="9" fillId="10" borderId="12" xfId="1" applyNumberFormat="1" applyFont="1" applyFill="1" applyBorder="1" applyAlignment="1">
      <alignment horizontal="center"/>
    </xf>
    <xf numFmtId="1" fontId="9" fillId="10" borderId="12" xfId="0" applyNumberFormat="1" applyFont="1" applyFill="1" applyBorder="1" applyAlignment="1">
      <alignment horizontal="center"/>
    </xf>
    <xf numFmtId="170" fontId="9" fillId="10" borderId="12" xfId="2" applyNumberFormat="1" applyFont="1" applyFill="1" applyBorder="1" applyAlignment="1">
      <alignment horizontal="center"/>
    </xf>
    <xf numFmtId="170" fontId="9" fillId="10" borderId="13" xfId="2" applyNumberFormat="1" applyFont="1" applyFill="1" applyBorder="1" applyAlignment="1">
      <alignment horizontal="center"/>
    </xf>
    <xf numFmtId="0" fontId="9" fillId="13" borderId="12" xfId="0" applyFont="1" applyFill="1" applyBorder="1"/>
    <xf numFmtId="1" fontId="9" fillId="13" borderId="12" xfId="0" applyNumberFormat="1" applyFont="1" applyFill="1" applyBorder="1" applyAlignment="1">
      <alignment horizontal="center"/>
    </xf>
    <xf numFmtId="170" fontId="9" fillId="13" borderId="12" xfId="2" applyNumberFormat="1" applyFont="1" applyFill="1" applyBorder="1" applyAlignment="1">
      <alignment horizontal="center"/>
    </xf>
    <xf numFmtId="170" fontId="9" fillId="13" borderId="13" xfId="2" applyNumberFormat="1" applyFont="1" applyFill="1" applyBorder="1" applyAlignment="1">
      <alignment horizontal="center"/>
    </xf>
    <xf numFmtId="1" fontId="9" fillId="2" borderId="12" xfId="1" applyNumberFormat="1" applyFont="1" applyFill="1" applyBorder="1" applyAlignment="1">
      <alignment horizontal="center"/>
    </xf>
    <xf numFmtId="1" fontId="9" fillId="11" borderId="12" xfId="1" applyNumberFormat="1" applyFont="1" applyFill="1" applyBorder="1" applyAlignment="1">
      <alignment horizontal="center"/>
    </xf>
    <xf numFmtId="1" fontId="9" fillId="17" borderId="12" xfId="0" applyNumberFormat="1" applyFont="1" applyFill="1" applyBorder="1" applyAlignment="1">
      <alignment horizontal="center" vertical="center" wrapText="1"/>
    </xf>
    <xf numFmtId="1" fontId="0" fillId="0" borderId="0" xfId="0" applyNumberFormat="1"/>
    <xf numFmtId="1" fontId="11" fillId="0" borderId="9" xfId="0" applyNumberFormat="1" applyFont="1" applyBorder="1" applyAlignment="1">
      <alignment horizontal="center"/>
    </xf>
    <xf numFmtId="1" fontId="9" fillId="2" borderId="12" xfId="0" applyNumberFormat="1" applyFont="1" applyFill="1" applyBorder="1" applyAlignment="1">
      <alignment horizontal="center"/>
    </xf>
    <xf numFmtId="0" fontId="9" fillId="18" borderId="12" xfId="0" applyFont="1" applyFill="1" applyBorder="1"/>
    <xf numFmtId="164" fontId="9" fillId="18" borderId="12" xfId="1" applyNumberFormat="1" applyFont="1" applyFill="1" applyBorder="1" applyAlignment="1">
      <alignment horizontal="center"/>
    </xf>
    <xf numFmtId="1" fontId="9" fillId="18" borderId="12" xfId="0" applyNumberFormat="1" applyFont="1" applyFill="1" applyBorder="1" applyAlignment="1">
      <alignment horizontal="center"/>
    </xf>
    <xf numFmtId="170" fontId="9" fillId="18" borderId="12" xfId="2" applyNumberFormat="1" applyFont="1" applyFill="1" applyBorder="1" applyAlignment="1">
      <alignment horizontal="center"/>
    </xf>
    <xf numFmtId="1" fontId="9" fillId="18" borderId="12" xfId="2" applyNumberFormat="1" applyFont="1" applyFill="1" applyBorder="1" applyAlignment="1">
      <alignment horizontal="center"/>
    </xf>
    <xf numFmtId="44" fontId="1" fillId="19" borderId="12" xfId="0" applyNumberFormat="1" applyFont="1" applyFill="1" applyBorder="1" applyAlignment="1">
      <alignment horizontal="center" wrapText="1"/>
    </xf>
    <xf numFmtId="170" fontId="9" fillId="18" borderId="13" xfId="2" applyNumberFormat="1" applyFont="1" applyFill="1" applyBorder="1" applyAlignment="1">
      <alignment horizontal="center"/>
    </xf>
    <xf numFmtId="1" fontId="11" fillId="0" borderId="10" xfId="0" applyNumberFormat="1" applyFont="1" applyBorder="1" applyAlignment="1">
      <alignment horizontal="center"/>
    </xf>
    <xf numFmtId="0" fontId="9" fillId="20" borderId="12" xfId="0" applyFont="1" applyFill="1" applyBorder="1" applyAlignment="1">
      <alignment horizontal="left" wrapText="1"/>
    </xf>
    <xf numFmtId="164" fontId="9" fillId="20" borderId="12" xfId="1" applyNumberFormat="1" applyFont="1" applyFill="1" applyBorder="1" applyAlignment="1">
      <alignment horizontal="center"/>
    </xf>
    <xf numFmtId="1" fontId="9" fillId="20" borderId="12" xfId="1" applyNumberFormat="1" applyFont="1" applyFill="1" applyBorder="1" applyAlignment="1">
      <alignment horizontal="center"/>
    </xf>
    <xf numFmtId="170" fontId="9" fillId="20" borderId="12" xfId="1" applyNumberFormat="1" applyFont="1" applyFill="1" applyBorder="1" applyAlignment="1">
      <alignment horizontal="center"/>
    </xf>
    <xf numFmtId="3" fontId="1" fillId="21" borderId="12" xfId="0" applyNumberFormat="1" applyFont="1" applyFill="1" applyBorder="1" applyAlignment="1">
      <alignment horizontal="center"/>
    </xf>
    <xf numFmtId="44" fontId="1" fillId="21" borderId="9" xfId="0" applyNumberFormat="1" applyFont="1" applyFill="1" applyBorder="1" applyAlignment="1">
      <alignment horizontal="center"/>
    </xf>
    <xf numFmtId="170" fontId="9" fillId="20" borderId="13" xfId="2" applyNumberFormat="1" applyFont="1" applyFill="1" applyBorder="1"/>
    <xf numFmtId="0" fontId="9" fillId="13" borderId="11" xfId="0" applyFont="1" applyFill="1" applyBorder="1"/>
    <xf numFmtId="164" fontId="9" fillId="13" borderId="9" xfId="1" applyNumberFormat="1" applyFont="1" applyFill="1" applyBorder="1" applyAlignment="1">
      <alignment horizontal="center"/>
    </xf>
    <xf numFmtId="3" fontId="1" fillId="5" borderId="10" xfId="0" applyNumberFormat="1" applyFont="1" applyFill="1" applyBorder="1" applyAlignment="1">
      <alignment horizontal="center"/>
    </xf>
    <xf numFmtId="0" fontId="9" fillId="7" borderId="11" xfId="0" applyFont="1" applyFill="1" applyBorder="1"/>
    <xf numFmtId="164" fontId="9" fillId="7" borderId="9" xfId="1" applyNumberFormat="1" applyFont="1" applyFill="1" applyBorder="1" applyAlignment="1">
      <alignment horizontal="center"/>
    </xf>
    <xf numFmtId="3" fontId="9" fillId="7" borderId="9" xfId="0" applyNumberFormat="1" applyFont="1" applyFill="1" applyBorder="1" applyAlignment="1">
      <alignment horizontal="center"/>
    </xf>
    <xf numFmtId="170" fontId="9" fillId="7" borderId="9" xfId="2" applyNumberFormat="1" applyFont="1" applyFill="1" applyBorder="1" applyAlignment="1">
      <alignment horizontal="center"/>
    </xf>
    <xf numFmtId="1" fontId="9" fillId="7" borderId="9" xfId="2" applyNumberFormat="1" applyFont="1" applyFill="1" applyBorder="1" applyAlignment="1">
      <alignment horizontal="center"/>
    </xf>
    <xf numFmtId="170" fontId="1" fillId="6" borderId="10" xfId="0" applyNumberFormat="1" applyFont="1" applyFill="1" applyBorder="1" applyAlignment="1">
      <alignment horizontal="center" wrapText="1"/>
    </xf>
    <xf numFmtId="0" fontId="9" fillId="18" borderId="14" xfId="0" applyFont="1" applyFill="1" applyBorder="1"/>
    <xf numFmtId="164" fontId="9" fillId="18" borderId="14" xfId="1" applyNumberFormat="1" applyFont="1" applyFill="1" applyBorder="1" applyAlignment="1">
      <alignment horizontal="center"/>
    </xf>
    <xf numFmtId="164" fontId="9" fillId="18" borderId="9" xfId="1" applyNumberFormat="1" applyFont="1" applyFill="1" applyBorder="1" applyAlignment="1">
      <alignment horizontal="center"/>
    </xf>
    <xf numFmtId="3" fontId="9" fillId="18" borderId="9" xfId="0" applyNumberFormat="1" applyFont="1" applyFill="1" applyBorder="1" applyAlignment="1">
      <alignment horizontal="center"/>
    </xf>
    <xf numFmtId="170" fontId="9" fillId="18" borderId="9" xfId="2" applyNumberFormat="1" applyFont="1" applyFill="1" applyBorder="1" applyAlignment="1">
      <alignment horizontal="center"/>
    </xf>
    <xf numFmtId="1" fontId="9" fillId="18" borderId="9" xfId="2" applyNumberFormat="1" applyFont="1" applyFill="1" applyBorder="1" applyAlignment="1">
      <alignment horizontal="center"/>
    </xf>
    <xf numFmtId="170" fontId="1" fillId="19" borderId="10" xfId="0" applyNumberFormat="1" applyFont="1" applyFill="1" applyBorder="1" applyAlignment="1">
      <alignment horizontal="center" wrapText="1"/>
    </xf>
    <xf numFmtId="0" fontId="1" fillId="10" borderId="14" xfId="0" applyFont="1" applyFill="1" applyBorder="1"/>
    <xf numFmtId="166" fontId="9" fillId="2" borderId="9" xfId="1" applyNumberFormat="1" applyFont="1" applyFill="1" applyBorder="1" applyAlignment="1">
      <alignment horizontal="center"/>
    </xf>
    <xf numFmtId="170" fontId="9" fillId="2" borderId="9" xfId="1" applyNumberFormat="1" applyFont="1" applyFill="1" applyBorder="1" applyAlignment="1">
      <alignment horizontal="center"/>
    </xf>
    <xf numFmtId="3" fontId="1" fillId="10" borderId="10" xfId="0" applyNumberFormat="1" applyFont="1" applyFill="1" applyBorder="1" applyAlignment="1">
      <alignment horizontal="center"/>
    </xf>
    <xf numFmtId="170" fontId="1" fillId="10" borderId="10" xfId="0" applyNumberFormat="1" applyFont="1" applyFill="1" applyBorder="1" applyAlignment="1">
      <alignment horizontal="center"/>
    </xf>
    <xf numFmtId="170" fontId="9" fillId="2" borderId="9" xfId="2" applyNumberFormat="1" applyFont="1" applyFill="1" applyBorder="1"/>
    <xf numFmtId="0" fontId="1" fillId="12" borderId="14" xfId="0" applyFont="1" applyFill="1" applyBorder="1" applyAlignment="1">
      <alignment wrapText="1"/>
    </xf>
    <xf numFmtId="164" fontId="9" fillId="11" borderId="9" xfId="1" applyNumberFormat="1" applyFont="1" applyFill="1" applyBorder="1" applyAlignment="1">
      <alignment horizontal="center"/>
    </xf>
    <xf numFmtId="166" fontId="9" fillId="11" borderId="9" xfId="1" applyNumberFormat="1" applyFont="1" applyFill="1" applyBorder="1" applyAlignment="1">
      <alignment horizontal="center"/>
    </xf>
    <xf numFmtId="170" fontId="9" fillId="11" borderId="9" xfId="1" applyNumberFormat="1" applyFont="1" applyFill="1" applyBorder="1" applyAlignment="1">
      <alignment horizontal="center"/>
    </xf>
    <xf numFmtId="3" fontId="1" fillId="12" borderId="10" xfId="0" applyNumberFormat="1" applyFont="1" applyFill="1" applyBorder="1" applyAlignment="1">
      <alignment horizontal="center"/>
    </xf>
    <xf numFmtId="170" fontId="1" fillId="12" borderId="10" xfId="0" applyNumberFormat="1" applyFont="1" applyFill="1" applyBorder="1" applyAlignment="1">
      <alignment horizontal="center"/>
    </xf>
    <xf numFmtId="170" fontId="9" fillId="11" borderId="9" xfId="2" applyNumberFormat="1" applyFont="1" applyFill="1" applyBorder="1"/>
    <xf numFmtId="0" fontId="1" fillId="5" borderId="14" xfId="0" applyFont="1" applyFill="1" applyBorder="1" applyAlignment="1">
      <alignment horizontal="left"/>
    </xf>
    <xf numFmtId="1" fontId="9" fillId="13" borderId="9" xfId="1" applyNumberFormat="1" applyFont="1" applyFill="1" applyBorder="1" applyAlignment="1">
      <alignment horizontal="center"/>
    </xf>
    <xf numFmtId="170" fontId="9" fillId="13" borderId="9" xfId="1" applyNumberFormat="1" applyFont="1" applyFill="1" applyBorder="1" applyAlignment="1">
      <alignment horizontal="center"/>
    </xf>
    <xf numFmtId="3" fontId="1" fillId="5" borderId="9" xfId="0" applyNumberFormat="1" applyFont="1" applyFill="1" applyBorder="1" applyAlignment="1">
      <alignment horizontal="center"/>
    </xf>
    <xf numFmtId="170" fontId="1" fillId="5" borderId="9" xfId="0" applyNumberFormat="1" applyFont="1" applyFill="1" applyBorder="1" applyAlignment="1">
      <alignment horizontal="center"/>
    </xf>
    <xf numFmtId="170" fontId="9" fillId="13" borderId="9" xfId="2" applyNumberFormat="1" applyFont="1" applyFill="1" applyBorder="1"/>
    <xf numFmtId="0" fontId="1" fillId="21" borderId="14" xfId="0" applyFont="1" applyFill="1" applyBorder="1" applyAlignment="1">
      <alignment wrapText="1"/>
    </xf>
    <xf numFmtId="164" fontId="9" fillId="20" borderId="9" xfId="1" applyNumberFormat="1" applyFont="1" applyFill="1" applyBorder="1" applyAlignment="1">
      <alignment horizontal="center"/>
    </xf>
    <xf numFmtId="1" fontId="9" fillId="20" borderId="9" xfId="1" applyNumberFormat="1" applyFont="1" applyFill="1" applyBorder="1" applyAlignment="1">
      <alignment horizontal="center"/>
    </xf>
    <xf numFmtId="170" fontId="9" fillId="20" borderId="9" xfId="1" applyNumberFormat="1" applyFont="1" applyFill="1" applyBorder="1" applyAlignment="1">
      <alignment horizontal="center"/>
    </xf>
    <xf numFmtId="3" fontId="1" fillId="21" borderId="11" xfId="0" applyNumberFormat="1" applyFont="1" applyFill="1" applyBorder="1" applyAlignment="1">
      <alignment horizontal="center"/>
    </xf>
    <xf numFmtId="170" fontId="9" fillId="20" borderId="9" xfId="2" applyNumberFormat="1" applyFont="1" applyFill="1" applyBorder="1"/>
    <xf numFmtId="0" fontId="1" fillId="15" borderId="14" xfId="0" applyFont="1" applyFill="1" applyBorder="1" applyAlignment="1">
      <alignment wrapText="1"/>
    </xf>
    <xf numFmtId="164" fontId="9" fillId="14" borderId="9" xfId="1" applyNumberFormat="1" applyFont="1" applyFill="1" applyBorder="1" applyAlignment="1">
      <alignment horizontal="center"/>
    </xf>
    <xf numFmtId="1" fontId="9" fillId="14" borderId="9" xfId="1" applyNumberFormat="1" applyFont="1" applyFill="1" applyBorder="1" applyAlignment="1">
      <alignment horizontal="center"/>
    </xf>
    <xf numFmtId="170" fontId="9" fillId="14" borderId="9" xfId="1" applyNumberFormat="1" applyFont="1" applyFill="1" applyBorder="1" applyAlignment="1">
      <alignment horizontal="center"/>
    </xf>
    <xf numFmtId="3" fontId="1" fillId="15" borderId="9" xfId="0" applyNumberFormat="1" applyFont="1" applyFill="1" applyBorder="1" applyAlignment="1">
      <alignment horizontal="center" vertical="center"/>
    </xf>
    <xf numFmtId="170" fontId="1" fillId="15" borderId="9" xfId="0" applyNumberFormat="1" applyFont="1" applyFill="1" applyBorder="1" applyAlignment="1">
      <alignment horizontal="center" vertical="center"/>
    </xf>
    <xf numFmtId="170" fontId="9" fillId="14" borderId="9" xfId="2" applyNumberFormat="1" applyFont="1" applyFill="1" applyBorder="1"/>
    <xf numFmtId="0" fontId="9" fillId="16" borderId="14" xfId="0" applyFont="1" applyFill="1" applyBorder="1"/>
    <xf numFmtId="164" fontId="9" fillId="17" borderId="9" xfId="1" applyNumberFormat="1" applyFont="1" applyFill="1" applyBorder="1" applyAlignment="1">
      <alignment horizontal="center" vertical="center" wrapText="1"/>
    </xf>
    <xf numFmtId="164" fontId="9" fillId="17" borderId="9" xfId="0" applyNumberFormat="1" applyFont="1" applyFill="1" applyBorder="1" applyAlignment="1">
      <alignment horizontal="center" vertical="center" wrapText="1"/>
    </xf>
    <xf numFmtId="166" fontId="9" fillId="17" borderId="9" xfId="0" applyNumberFormat="1" applyFont="1" applyFill="1" applyBorder="1" applyAlignment="1">
      <alignment horizontal="center" vertical="center" wrapText="1"/>
    </xf>
    <xf numFmtId="170" fontId="9" fillId="17" borderId="9" xfId="2" applyNumberFormat="1" applyFont="1" applyFill="1" applyBorder="1" applyAlignment="1">
      <alignment horizontal="center" vertical="center" wrapText="1"/>
    </xf>
    <xf numFmtId="1" fontId="9" fillId="17" borderId="9" xfId="2" applyNumberFormat="1" applyFont="1" applyFill="1" applyBorder="1" applyAlignment="1">
      <alignment horizontal="center" vertical="center" wrapText="1"/>
    </xf>
    <xf numFmtId="170" fontId="1" fillId="17" borderId="9" xfId="0" applyNumberFormat="1" applyFont="1" applyFill="1" applyBorder="1" applyAlignment="1">
      <alignment horizontal="center"/>
    </xf>
    <xf numFmtId="170" fontId="9" fillId="17" borderId="9" xfId="0" applyNumberFormat="1" applyFont="1" applyFill="1" applyBorder="1" applyAlignment="1">
      <alignment horizontal="center" vertical="center" wrapText="1"/>
    </xf>
    <xf numFmtId="0" fontId="1" fillId="8" borderId="14" xfId="0" applyFont="1" applyFill="1" applyBorder="1" applyAlignment="1">
      <alignment wrapText="1"/>
    </xf>
    <xf numFmtId="164" fontId="9" fillId="9" borderId="9" xfId="1" applyNumberFormat="1" applyFont="1" applyFill="1" applyBorder="1" applyAlignment="1">
      <alignment horizontal="center"/>
    </xf>
    <xf numFmtId="166" fontId="9" fillId="9" borderId="9" xfId="1" applyNumberFormat="1" applyFont="1" applyFill="1" applyBorder="1" applyAlignment="1">
      <alignment horizontal="center"/>
    </xf>
    <xf numFmtId="170" fontId="9" fillId="9" borderId="9" xfId="1" applyNumberFormat="1" applyFont="1" applyFill="1" applyBorder="1" applyAlignment="1">
      <alignment horizontal="center"/>
    </xf>
    <xf numFmtId="169" fontId="9" fillId="8" borderId="9" xfId="0" applyNumberFormat="1" applyFont="1" applyFill="1" applyBorder="1" applyAlignment="1">
      <alignment horizontal="center"/>
    </xf>
    <xf numFmtId="170" fontId="9" fillId="8" borderId="9" xfId="0" applyNumberFormat="1" applyFont="1" applyFill="1" applyBorder="1" applyAlignment="1">
      <alignment horizontal="center"/>
    </xf>
    <xf numFmtId="170" fontId="9" fillId="9" borderId="9" xfId="2" applyNumberFormat="1" applyFont="1" applyFill="1" applyBorder="1"/>
    <xf numFmtId="0" fontId="9" fillId="18" borderId="11" xfId="0" applyFont="1" applyFill="1" applyBorder="1"/>
    <xf numFmtId="0" fontId="9" fillId="2" borderId="11" xfId="0" applyFont="1" applyFill="1" applyBorder="1" applyAlignment="1">
      <alignment horizontal="left" wrapText="1"/>
    </xf>
    <xf numFmtId="0" fontId="9" fillId="11" borderId="10" xfId="0" applyFont="1" applyFill="1" applyBorder="1" applyAlignment="1">
      <alignment horizontal="left" wrapText="1"/>
    </xf>
    <xf numFmtId="0" fontId="9" fillId="13" borderId="10" xfId="0" applyFont="1" applyFill="1" applyBorder="1" applyAlignment="1">
      <alignment horizontal="left" wrapText="1"/>
    </xf>
    <xf numFmtId="0" fontId="9" fillId="20" borderId="10" xfId="0" applyFont="1" applyFill="1" applyBorder="1" applyAlignment="1">
      <alignment horizontal="left" wrapText="1"/>
    </xf>
    <xf numFmtId="0" fontId="9" fillId="14" borderId="10" xfId="0" applyFont="1" applyFill="1" applyBorder="1" applyAlignment="1">
      <alignment horizontal="left" wrapText="1"/>
    </xf>
    <xf numFmtId="0" fontId="9" fillId="16" borderId="11" xfId="0" applyFont="1" applyFill="1" applyBorder="1" applyAlignment="1">
      <alignment horizontal="left" wrapText="1"/>
    </xf>
    <xf numFmtId="0" fontId="1" fillId="8" borderId="11" xfId="0" applyFont="1" applyFill="1" applyBorder="1" applyAlignment="1">
      <alignment horizontal="left" wrapText="1"/>
    </xf>
    <xf numFmtId="0" fontId="16" fillId="0" borderId="0" xfId="0" applyFont="1"/>
    <xf numFmtId="0" fontId="9" fillId="0" borderId="0" xfId="0" applyFont="1" applyAlignment="1">
      <alignment vertical="center" wrapText="1"/>
    </xf>
    <xf numFmtId="0" fontId="5" fillId="22" borderId="4" xfId="0" applyFont="1" applyFill="1" applyBorder="1" applyAlignment="1">
      <alignment horizontal="center" wrapText="1"/>
    </xf>
    <xf numFmtId="0" fontId="5" fillId="22" borderId="1" xfId="0" applyFont="1" applyFill="1" applyBorder="1" applyAlignment="1">
      <alignment horizontal="center" wrapText="1"/>
    </xf>
    <xf numFmtId="0" fontId="5" fillId="4" borderId="5" xfId="0" applyFont="1" applyFill="1" applyBorder="1" applyAlignment="1">
      <alignment horizontal="center" wrapText="1"/>
    </xf>
    <xf numFmtId="0" fontId="5" fillId="4" borderId="1" xfId="0" applyFont="1" applyFill="1" applyBorder="1" applyAlignment="1">
      <alignment horizontal="center" wrapText="1"/>
    </xf>
    <xf numFmtId="0" fontId="5" fillId="5" borderId="5" xfId="0" applyFont="1" applyFill="1" applyBorder="1" applyAlignment="1">
      <alignment horizontal="center" wrapText="1"/>
    </xf>
    <xf numFmtId="0" fontId="5" fillId="5" borderId="1" xfId="0" applyFont="1" applyFill="1" applyBorder="1" applyAlignment="1">
      <alignment horizontal="center" wrapText="1"/>
    </xf>
    <xf numFmtId="0" fontId="5" fillId="6" borderId="5" xfId="0" applyFont="1" applyFill="1" applyBorder="1" applyAlignment="1">
      <alignment horizontal="center" wrapText="1"/>
    </xf>
    <xf numFmtId="0" fontId="5" fillId="6" borderId="1" xfId="0" applyFont="1" applyFill="1" applyBorder="1" applyAlignment="1">
      <alignment horizontal="center" wrapText="1"/>
    </xf>
    <xf numFmtId="3" fontId="1" fillId="22" borderId="9" xfId="0" applyNumberFormat="1" applyFont="1" applyFill="1" applyBorder="1" applyAlignment="1">
      <alignment horizontal="center"/>
    </xf>
    <xf numFmtId="0" fontId="1" fillId="22" borderId="9" xfId="0" applyFont="1" applyFill="1" applyBorder="1" applyAlignment="1">
      <alignment horizontal="center"/>
    </xf>
    <xf numFmtId="3" fontId="1" fillId="22" borderId="16" xfId="0" applyNumberFormat="1" applyFont="1" applyFill="1" applyBorder="1" applyAlignment="1">
      <alignment horizontal="center"/>
    </xf>
    <xf numFmtId="164" fontId="1" fillId="22" borderId="17" xfId="1" applyNumberFormat="1" applyFont="1" applyFill="1" applyBorder="1" applyAlignment="1">
      <alignment horizontal="center"/>
    </xf>
    <xf numFmtId="3" fontId="9" fillId="4" borderId="16" xfId="0" applyNumberFormat="1" applyFont="1" applyFill="1" applyBorder="1" applyAlignment="1">
      <alignment horizontal="center"/>
    </xf>
    <xf numFmtId="164" fontId="9" fillId="4" borderId="17" xfId="1" applyNumberFormat="1" applyFont="1" applyFill="1" applyBorder="1" applyAlignment="1">
      <alignment horizontal="center"/>
    </xf>
    <xf numFmtId="3" fontId="9" fillId="4" borderId="17" xfId="0" applyNumberFormat="1" applyFont="1" applyFill="1" applyBorder="1" applyAlignment="1">
      <alignment horizontal="center"/>
    </xf>
    <xf numFmtId="2" fontId="9" fillId="4" borderId="17" xfId="1" applyNumberFormat="1" applyFont="1" applyFill="1" applyBorder="1" applyAlignment="1">
      <alignment horizontal="center"/>
    </xf>
    <xf numFmtId="3" fontId="1" fillId="5" borderId="16" xfId="0" applyNumberFormat="1" applyFont="1" applyFill="1" applyBorder="1" applyAlignment="1">
      <alignment horizontal="center"/>
    </xf>
    <xf numFmtId="164" fontId="1" fillId="5" borderId="17" xfId="1" applyNumberFormat="1" applyFont="1" applyFill="1" applyBorder="1" applyAlignment="1">
      <alignment horizontal="center"/>
    </xf>
    <xf numFmtId="3" fontId="1" fillId="5" borderId="17" xfId="0" applyNumberFormat="1" applyFont="1" applyFill="1" applyBorder="1" applyAlignment="1">
      <alignment horizontal="center"/>
    </xf>
    <xf numFmtId="2" fontId="1" fillId="5" borderId="17" xfId="1" applyNumberFormat="1" applyFont="1" applyFill="1" applyBorder="1" applyAlignment="1">
      <alignment horizontal="center"/>
    </xf>
    <xf numFmtId="3" fontId="1" fillId="6" borderId="16" xfId="0" applyNumberFormat="1" applyFont="1" applyFill="1" applyBorder="1" applyAlignment="1">
      <alignment horizontal="center"/>
    </xf>
    <xf numFmtId="164" fontId="1" fillId="6" borderId="17" xfId="1" applyNumberFormat="1" applyFont="1" applyFill="1" applyBorder="1" applyAlignment="1">
      <alignment horizontal="center"/>
    </xf>
    <xf numFmtId="3" fontId="1" fillId="6" borderId="17" xfId="0" applyNumberFormat="1" applyFont="1" applyFill="1" applyBorder="1" applyAlignment="1">
      <alignment horizontal="center"/>
    </xf>
    <xf numFmtId="2" fontId="1" fillId="6" borderId="17" xfId="1" applyNumberFormat="1" applyFont="1" applyFill="1" applyBorder="1" applyAlignment="1">
      <alignment horizontal="center"/>
    </xf>
    <xf numFmtId="0" fontId="1" fillId="22" borderId="10" xfId="0" applyFont="1" applyFill="1" applyBorder="1" applyAlignment="1">
      <alignment horizontal="center"/>
    </xf>
    <xf numFmtId="0" fontId="1" fillId="22" borderId="11" xfId="0" applyFont="1" applyFill="1" applyBorder="1" applyAlignment="1">
      <alignment horizontal="center"/>
    </xf>
    <xf numFmtId="0" fontId="9" fillId="4" borderId="10" xfId="0" applyFont="1" applyFill="1" applyBorder="1" applyAlignment="1">
      <alignment horizontal="center"/>
    </xf>
    <xf numFmtId="0" fontId="9" fillId="4" borderId="11" xfId="0" applyFont="1" applyFill="1" applyBorder="1" applyAlignment="1">
      <alignment horizontal="center"/>
    </xf>
    <xf numFmtId="166" fontId="9" fillId="4" borderId="11" xfId="1" applyNumberFormat="1" applyFont="1" applyFill="1" applyBorder="1" applyAlignment="1">
      <alignment horizontal="center"/>
    </xf>
    <xf numFmtId="164" fontId="9" fillId="4" borderId="11" xfId="1" applyNumberFormat="1"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3" fontId="1" fillId="5" borderId="11" xfId="0" applyNumberFormat="1" applyFont="1" applyFill="1" applyBorder="1" applyAlignment="1">
      <alignment horizontal="center"/>
    </xf>
    <xf numFmtId="2" fontId="1" fillId="5" borderId="11" xfId="1" applyNumberFormat="1" applyFont="1" applyFill="1" applyBorder="1" applyAlignment="1">
      <alignment horizontal="center"/>
    </xf>
    <xf numFmtId="164" fontId="1" fillId="5" borderId="11" xfId="1" applyNumberFormat="1"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3" fontId="1" fillId="6" borderId="11" xfId="0" applyNumberFormat="1" applyFont="1" applyFill="1" applyBorder="1" applyAlignment="1">
      <alignment horizontal="center"/>
    </xf>
    <xf numFmtId="2" fontId="1" fillId="6" borderId="11" xfId="1" applyNumberFormat="1" applyFont="1" applyFill="1" applyBorder="1" applyAlignment="1">
      <alignment horizontal="center"/>
    </xf>
    <xf numFmtId="164" fontId="1" fillId="6" borderId="11" xfId="1" applyNumberFormat="1" applyFont="1" applyFill="1" applyBorder="1" applyAlignment="1">
      <alignment horizontal="center"/>
    </xf>
    <xf numFmtId="3" fontId="1" fillId="22" borderId="10" xfId="0" applyNumberFormat="1" applyFont="1" applyFill="1" applyBorder="1" applyAlignment="1">
      <alignment horizontal="center"/>
    </xf>
    <xf numFmtId="164" fontId="1" fillId="22" borderId="11" xfId="1" applyNumberFormat="1" applyFont="1" applyFill="1" applyBorder="1" applyAlignment="1">
      <alignment horizontal="center"/>
    </xf>
    <xf numFmtId="3" fontId="9" fillId="4" borderId="10" xfId="0" applyNumberFormat="1" applyFont="1" applyFill="1" applyBorder="1" applyAlignment="1">
      <alignment horizontal="center"/>
    </xf>
    <xf numFmtId="3" fontId="9" fillId="4" borderId="11" xfId="0" applyNumberFormat="1" applyFont="1" applyFill="1" applyBorder="1" applyAlignment="1">
      <alignment horizontal="center"/>
    </xf>
    <xf numFmtId="2" fontId="9" fillId="4" borderId="11" xfId="1" applyNumberFormat="1" applyFont="1" applyFill="1" applyBorder="1" applyAlignment="1">
      <alignment horizontal="center"/>
    </xf>
    <xf numFmtId="3" fontId="1" fillId="6" borderId="10" xfId="0" applyNumberFormat="1" applyFont="1" applyFill="1" applyBorder="1" applyAlignment="1">
      <alignment horizontal="center"/>
    </xf>
    <xf numFmtId="164" fontId="1" fillId="22" borderId="14" xfId="1" applyNumberFormat="1" applyFont="1" applyFill="1" applyBorder="1" applyAlignment="1">
      <alignment horizontal="center"/>
    </xf>
    <xf numFmtId="3" fontId="1" fillId="22" borderId="19" xfId="0" applyNumberFormat="1" applyFont="1" applyFill="1" applyBorder="1" applyAlignment="1">
      <alignment horizontal="center"/>
    </xf>
    <xf numFmtId="164" fontId="1" fillId="22" borderId="15" xfId="1" applyNumberFormat="1" applyFont="1" applyFill="1" applyBorder="1" applyAlignment="1">
      <alignment horizontal="center"/>
    </xf>
    <xf numFmtId="3" fontId="9" fillId="4" borderId="19" xfId="0" applyNumberFormat="1" applyFont="1" applyFill="1" applyBorder="1" applyAlignment="1">
      <alignment horizontal="center"/>
    </xf>
    <xf numFmtId="164" fontId="9" fillId="4" borderId="3" xfId="1" applyNumberFormat="1" applyFont="1" applyFill="1" applyBorder="1" applyAlignment="1">
      <alignment horizontal="center"/>
    </xf>
    <xf numFmtId="3" fontId="9" fillId="4" borderId="3" xfId="0" applyNumberFormat="1" applyFont="1" applyFill="1" applyBorder="1" applyAlignment="1">
      <alignment horizontal="center"/>
    </xf>
    <xf numFmtId="2" fontId="9" fillId="4" borderId="3" xfId="1" applyNumberFormat="1" applyFont="1" applyFill="1" applyBorder="1" applyAlignment="1">
      <alignment horizontal="center"/>
    </xf>
    <xf numFmtId="3" fontId="1" fillId="5" borderId="19" xfId="0" applyNumberFormat="1" applyFont="1" applyFill="1" applyBorder="1" applyAlignment="1">
      <alignment horizontal="center"/>
    </xf>
    <xf numFmtId="164" fontId="1" fillId="5" borderId="3" xfId="1" applyNumberFormat="1" applyFont="1" applyFill="1" applyBorder="1" applyAlignment="1">
      <alignment horizontal="center"/>
    </xf>
    <xf numFmtId="3" fontId="1" fillId="5" borderId="3" xfId="0" applyNumberFormat="1" applyFont="1" applyFill="1" applyBorder="1" applyAlignment="1">
      <alignment horizontal="center"/>
    </xf>
    <xf numFmtId="2" fontId="1" fillId="5" borderId="3" xfId="1" applyNumberFormat="1" applyFont="1" applyFill="1" applyBorder="1" applyAlignment="1">
      <alignment horizontal="center"/>
    </xf>
    <xf numFmtId="3" fontId="1" fillId="6" borderId="19" xfId="0" applyNumberFormat="1" applyFont="1" applyFill="1" applyBorder="1" applyAlignment="1">
      <alignment horizontal="center"/>
    </xf>
    <xf numFmtId="164" fontId="1" fillId="6" borderId="3" xfId="1" applyNumberFormat="1" applyFont="1" applyFill="1" applyBorder="1" applyAlignment="1">
      <alignment horizontal="center"/>
    </xf>
    <xf numFmtId="3" fontId="1" fillId="6" borderId="3" xfId="0" applyNumberFormat="1" applyFont="1" applyFill="1" applyBorder="1" applyAlignment="1">
      <alignment horizontal="center"/>
    </xf>
    <xf numFmtId="2" fontId="1" fillId="6" borderId="3" xfId="1" applyNumberFormat="1" applyFont="1" applyFill="1" applyBorder="1" applyAlignment="1">
      <alignment horizontal="center"/>
    </xf>
    <xf numFmtId="3" fontId="1" fillId="22" borderId="20" xfId="0" applyNumberFormat="1" applyFont="1" applyFill="1" applyBorder="1" applyAlignment="1">
      <alignment horizontal="center"/>
    </xf>
    <xf numFmtId="167" fontId="9" fillId="4" borderId="17" xfId="1" applyNumberFormat="1" applyFont="1" applyFill="1" applyBorder="1" applyAlignment="1">
      <alignment horizontal="center"/>
    </xf>
    <xf numFmtId="167" fontId="1" fillId="5" borderId="17" xfId="1" applyNumberFormat="1" applyFont="1" applyFill="1" applyBorder="1" applyAlignment="1">
      <alignment horizontal="center"/>
    </xf>
    <xf numFmtId="167" fontId="1" fillId="6" borderId="17" xfId="1" applyNumberFormat="1" applyFont="1" applyFill="1" applyBorder="1" applyAlignment="1">
      <alignment horizontal="center"/>
    </xf>
    <xf numFmtId="166" fontId="1" fillId="5" borderId="11" xfId="1" applyNumberFormat="1" applyFont="1" applyFill="1" applyBorder="1" applyAlignment="1">
      <alignment horizontal="center"/>
    </xf>
    <xf numFmtId="166" fontId="1" fillId="6" borderId="11" xfId="1" applyNumberFormat="1" applyFont="1" applyFill="1" applyBorder="1" applyAlignment="1">
      <alignment horizontal="center"/>
    </xf>
    <xf numFmtId="167" fontId="9" fillId="4" borderId="11" xfId="1" applyNumberFormat="1" applyFont="1" applyFill="1" applyBorder="1" applyAlignment="1">
      <alignment horizontal="center"/>
    </xf>
    <xf numFmtId="3" fontId="1" fillId="22" borderId="21" xfId="0" applyNumberFormat="1" applyFont="1" applyFill="1" applyBorder="1" applyAlignment="1">
      <alignment horizontal="center"/>
    </xf>
    <xf numFmtId="169" fontId="9" fillId="4" borderId="11" xfId="0" applyNumberFormat="1" applyFont="1" applyFill="1" applyBorder="1" applyAlignment="1">
      <alignment horizontal="center"/>
    </xf>
    <xf numFmtId="169" fontId="9" fillId="4" borderId="3" xfId="0" applyNumberFormat="1" applyFont="1" applyFill="1" applyBorder="1" applyAlignment="1">
      <alignment horizontal="center"/>
    </xf>
    <xf numFmtId="167" fontId="1" fillId="6" borderId="11" xfId="1" applyNumberFormat="1" applyFont="1" applyFill="1" applyBorder="1" applyAlignment="1">
      <alignment horizontal="center"/>
    </xf>
    <xf numFmtId="167" fontId="1" fillId="5" borderId="11" xfId="1" applyNumberFormat="1" applyFont="1" applyFill="1" applyBorder="1" applyAlignment="1">
      <alignment horizontal="center"/>
    </xf>
    <xf numFmtId="0" fontId="5" fillId="6" borderId="6" xfId="0" applyFont="1" applyFill="1" applyBorder="1" applyAlignment="1">
      <alignment horizontal="center" wrapText="1"/>
    </xf>
    <xf numFmtId="3" fontId="5" fillId="22" borderId="20" xfId="0" applyNumberFormat="1" applyFont="1" applyFill="1" applyBorder="1" applyAlignment="1">
      <alignment horizontal="center"/>
    </xf>
    <xf numFmtId="3" fontId="5" fillId="22" borderId="16" xfId="0" applyNumberFormat="1" applyFont="1" applyFill="1" applyBorder="1" applyAlignment="1">
      <alignment horizontal="center"/>
    </xf>
    <xf numFmtId="164" fontId="5" fillId="22" borderId="18" xfId="1" applyNumberFormat="1" applyFont="1" applyFill="1" applyBorder="1" applyAlignment="1">
      <alignment horizontal="center"/>
    </xf>
    <xf numFmtId="3" fontId="10" fillId="4" borderId="16" xfId="0" applyNumberFormat="1" applyFont="1" applyFill="1" applyBorder="1" applyAlignment="1">
      <alignment horizontal="center"/>
    </xf>
    <xf numFmtId="164" fontId="10" fillId="4" borderId="17" xfId="1" applyNumberFormat="1" applyFont="1" applyFill="1" applyBorder="1" applyAlignment="1">
      <alignment horizontal="center"/>
    </xf>
    <xf numFmtId="3" fontId="5" fillId="5" borderId="16" xfId="0" applyNumberFormat="1" applyFont="1" applyFill="1" applyBorder="1" applyAlignment="1">
      <alignment horizontal="center"/>
    </xf>
    <xf numFmtId="164" fontId="5" fillId="5" borderId="17" xfId="1" applyNumberFormat="1" applyFont="1" applyFill="1" applyBorder="1" applyAlignment="1">
      <alignment horizontal="center"/>
    </xf>
    <xf numFmtId="3" fontId="5" fillId="6" borderId="16" xfId="0" applyNumberFormat="1" applyFont="1" applyFill="1" applyBorder="1" applyAlignment="1">
      <alignment horizontal="center"/>
    </xf>
    <xf numFmtId="164" fontId="5" fillId="6" borderId="17" xfId="1" applyNumberFormat="1" applyFont="1" applyFill="1" applyBorder="1" applyAlignment="1">
      <alignment horizontal="center"/>
    </xf>
    <xf numFmtId="0" fontId="5" fillId="22" borderId="9" xfId="0" applyFont="1" applyFill="1" applyBorder="1" applyAlignment="1">
      <alignment horizontal="center"/>
    </xf>
    <xf numFmtId="0" fontId="5" fillId="22" borderId="10" xfId="0" applyFont="1" applyFill="1" applyBorder="1" applyAlignment="1">
      <alignment horizontal="center"/>
    </xf>
    <xf numFmtId="0" fontId="5" fillId="22" borderId="14"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166" fontId="9" fillId="4" borderId="11" xfId="0" applyNumberFormat="1"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lignment horizontal="center"/>
    </xf>
    <xf numFmtId="166" fontId="1" fillId="5" borderId="11" xfId="0" applyNumberFormat="1" applyFont="1" applyFill="1" applyBorder="1" applyAlignment="1">
      <alignment horizontal="center"/>
    </xf>
    <xf numFmtId="0" fontId="5" fillId="6" borderId="10" xfId="0" applyFont="1" applyFill="1" applyBorder="1" applyAlignment="1">
      <alignment horizontal="center"/>
    </xf>
    <xf numFmtId="0" fontId="5" fillId="6" borderId="11" xfId="0" applyFont="1" applyFill="1" applyBorder="1" applyAlignment="1">
      <alignment horizontal="center"/>
    </xf>
    <xf numFmtId="166" fontId="1" fillId="6" borderId="11" xfId="0" applyNumberFormat="1" applyFont="1" applyFill="1" applyBorder="1" applyAlignment="1">
      <alignment horizontal="center"/>
    </xf>
    <xf numFmtId="164" fontId="1" fillId="22" borderId="14" xfId="0" applyNumberFormat="1" applyFont="1" applyFill="1" applyBorder="1" applyAlignment="1">
      <alignment horizontal="center"/>
    </xf>
    <xf numFmtId="164" fontId="9" fillId="4" borderId="11" xfId="0" applyNumberFormat="1" applyFont="1" applyFill="1" applyBorder="1" applyAlignment="1">
      <alignment horizontal="center"/>
    </xf>
    <xf numFmtId="164" fontId="1" fillId="5" borderId="11" xfId="0" applyNumberFormat="1" applyFont="1" applyFill="1" applyBorder="1" applyAlignment="1">
      <alignment horizontal="center"/>
    </xf>
    <xf numFmtId="164" fontId="1" fillId="6" borderId="11" xfId="0" applyNumberFormat="1" applyFont="1" applyFill="1" applyBorder="1" applyAlignment="1">
      <alignment horizontal="center"/>
    </xf>
    <xf numFmtId="3" fontId="9" fillId="6" borderId="11" xfId="0" applyNumberFormat="1" applyFont="1" applyFill="1" applyBorder="1" applyAlignment="1">
      <alignment horizontal="center"/>
    </xf>
    <xf numFmtId="0" fontId="9" fillId="6" borderId="11" xfId="0" applyFont="1" applyFill="1" applyBorder="1" applyAlignment="1">
      <alignment horizontal="center"/>
    </xf>
    <xf numFmtId="165" fontId="9" fillId="4" borderId="10" xfId="0" applyNumberFormat="1" applyFont="1" applyFill="1" applyBorder="1" applyAlignment="1">
      <alignment horizontal="center"/>
    </xf>
    <xf numFmtId="165" fontId="1" fillId="5" borderId="11" xfId="0" applyNumberFormat="1" applyFont="1" applyFill="1" applyBorder="1" applyAlignment="1">
      <alignment horizontal="center"/>
    </xf>
    <xf numFmtId="165" fontId="9" fillId="6" borderId="11" xfId="0" applyNumberFormat="1" applyFont="1" applyFill="1" applyBorder="1" applyAlignment="1">
      <alignment horizontal="center"/>
    </xf>
    <xf numFmtId="169" fontId="9" fillId="4" borderId="10" xfId="0" applyNumberFormat="1" applyFont="1" applyFill="1" applyBorder="1" applyAlignment="1">
      <alignment horizontal="center"/>
    </xf>
    <xf numFmtId="165" fontId="9" fillId="4" borderId="19" xfId="0" applyNumberFormat="1" applyFont="1" applyFill="1" applyBorder="1" applyAlignment="1">
      <alignment horizontal="center"/>
    </xf>
    <xf numFmtId="165" fontId="1" fillId="5" borderId="3" xfId="0" applyNumberFormat="1" applyFont="1" applyFill="1" applyBorder="1" applyAlignment="1">
      <alignment horizontal="center"/>
    </xf>
    <xf numFmtId="165" fontId="9" fillId="6" borderId="3" xfId="0" applyNumberFormat="1" applyFont="1" applyFill="1" applyBorder="1" applyAlignment="1">
      <alignment horizontal="center"/>
    </xf>
    <xf numFmtId="0" fontId="9" fillId="4" borderId="22" xfId="0" applyFont="1" applyFill="1" applyBorder="1" applyAlignment="1">
      <alignment horizontal="center" wrapText="1"/>
    </xf>
    <xf numFmtId="0" fontId="6" fillId="4" borderId="19" xfId="0" applyFont="1" applyFill="1" applyBorder="1" applyAlignment="1">
      <alignment horizontal="center" wrapText="1"/>
    </xf>
    <xf numFmtId="0" fontId="1" fillId="5" borderId="17" xfId="0" applyFont="1" applyFill="1" applyBorder="1" applyAlignment="1">
      <alignment horizontal="center"/>
    </xf>
    <xf numFmtId="164" fontId="9" fillId="6" borderId="17" xfId="1" applyNumberFormat="1" applyFont="1" applyFill="1" applyBorder="1" applyAlignment="1">
      <alignment horizontal="center"/>
    </xf>
    <xf numFmtId="3" fontId="5" fillId="5" borderId="11" xfId="0" applyNumberFormat="1" applyFont="1" applyFill="1" applyBorder="1" applyAlignment="1">
      <alignment horizontal="center" vertical="top" wrapText="1"/>
    </xf>
    <xf numFmtId="165" fontId="9" fillId="4" borderId="11" xfId="0" applyNumberFormat="1" applyFont="1" applyFill="1" applyBorder="1" applyAlignment="1">
      <alignment horizontal="center"/>
    </xf>
    <xf numFmtId="164" fontId="1" fillId="5" borderId="11" xfId="1" quotePrefix="1" applyNumberFormat="1" applyFont="1" applyFill="1" applyBorder="1" applyAlignment="1">
      <alignment horizontal="center"/>
    </xf>
    <xf numFmtId="168" fontId="9" fillId="4" borderId="11" xfId="0" applyNumberFormat="1" applyFont="1" applyFill="1" applyBorder="1" applyAlignment="1">
      <alignment horizontal="center"/>
    </xf>
    <xf numFmtId="168" fontId="9" fillId="6" borderId="11" xfId="0" applyNumberFormat="1" applyFont="1" applyFill="1" applyBorder="1" applyAlignment="1">
      <alignment horizontal="center"/>
    </xf>
    <xf numFmtId="165" fontId="9" fillId="4" borderId="3" xfId="0" applyNumberFormat="1" applyFont="1" applyFill="1" applyBorder="1" applyAlignment="1">
      <alignment horizontal="center"/>
    </xf>
    <xf numFmtId="0" fontId="5" fillId="22" borderId="21" xfId="0" applyFont="1" applyFill="1" applyBorder="1" applyAlignment="1">
      <alignment horizontal="center" wrapText="1"/>
    </xf>
    <xf numFmtId="164" fontId="1" fillId="22" borderId="20" xfId="1" applyNumberFormat="1" applyFont="1" applyFill="1" applyBorder="1" applyAlignment="1">
      <alignment horizontal="center"/>
    </xf>
    <xf numFmtId="3" fontId="5" fillId="22" borderId="9" xfId="0" applyNumberFormat="1" applyFont="1" applyFill="1" applyBorder="1" applyAlignment="1">
      <alignment horizontal="center" vertical="top" wrapText="1"/>
    </xf>
    <xf numFmtId="165" fontId="1" fillId="22" borderId="9" xfId="0" applyNumberFormat="1" applyFont="1" applyFill="1" applyBorder="1" applyAlignment="1">
      <alignment horizontal="center"/>
    </xf>
    <xf numFmtId="165" fontId="1" fillId="22" borderId="21" xfId="0" applyNumberFormat="1" applyFont="1" applyFill="1" applyBorder="1" applyAlignment="1">
      <alignment horizontal="center"/>
    </xf>
    <xf numFmtId="0" fontId="5" fillId="4" borderId="6" xfId="0" applyFont="1" applyFill="1" applyBorder="1" applyAlignment="1">
      <alignment horizontal="center" wrapText="1"/>
    </xf>
    <xf numFmtId="164" fontId="9" fillId="4" borderId="16" xfId="1" applyNumberFormat="1" applyFont="1" applyFill="1" applyBorder="1" applyAlignment="1">
      <alignment horizontal="center"/>
    </xf>
    <xf numFmtId="0" fontId="9" fillId="4" borderId="18" xfId="0" applyFont="1" applyFill="1" applyBorder="1" applyAlignment="1">
      <alignment horizontal="center"/>
    </xf>
    <xf numFmtId="3" fontId="10" fillId="4" borderId="10" xfId="0" applyNumberFormat="1" applyFont="1" applyFill="1" applyBorder="1" applyAlignment="1">
      <alignment horizontal="center" vertical="top" wrapText="1"/>
    </xf>
    <xf numFmtId="164" fontId="9" fillId="4" borderId="14" xfId="1" applyNumberFormat="1" applyFont="1" applyFill="1" applyBorder="1" applyAlignment="1">
      <alignment horizontal="center"/>
    </xf>
    <xf numFmtId="0" fontId="9" fillId="4" borderId="14" xfId="0" applyFont="1" applyFill="1" applyBorder="1" applyAlignment="1">
      <alignment horizontal="center"/>
    </xf>
    <xf numFmtId="164" fontId="9" fillId="4" borderId="14" xfId="1" quotePrefix="1" applyNumberFormat="1" applyFont="1" applyFill="1" applyBorder="1" applyAlignment="1">
      <alignment horizontal="center"/>
    </xf>
    <xf numFmtId="164" fontId="9" fillId="4" borderId="15" xfId="1" applyNumberFormat="1" applyFont="1" applyFill="1" applyBorder="1" applyAlignment="1">
      <alignment horizontal="center"/>
    </xf>
    <xf numFmtId="164" fontId="9" fillId="6" borderId="16" xfId="1" applyNumberFormat="1" applyFont="1" applyFill="1" applyBorder="1" applyAlignment="1">
      <alignment horizontal="center"/>
    </xf>
    <xf numFmtId="3" fontId="10" fillId="6" borderId="10" xfId="0" applyNumberFormat="1" applyFont="1" applyFill="1" applyBorder="1" applyAlignment="1">
      <alignment horizontal="center" vertical="top" wrapText="1"/>
    </xf>
    <xf numFmtId="165" fontId="9" fillId="6" borderId="10" xfId="0" applyNumberFormat="1" applyFont="1" applyFill="1" applyBorder="1" applyAlignment="1">
      <alignment horizontal="center"/>
    </xf>
    <xf numFmtId="0" fontId="9" fillId="6" borderId="10" xfId="0" applyFont="1" applyFill="1" applyBorder="1" applyAlignment="1">
      <alignment horizontal="center"/>
    </xf>
    <xf numFmtId="3" fontId="9" fillId="6" borderId="10" xfId="0" applyNumberFormat="1" applyFont="1" applyFill="1" applyBorder="1" applyAlignment="1">
      <alignment horizontal="center"/>
    </xf>
    <xf numFmtId="165" fontId="9" fillId="6" borderId="19" xfId="0" applyNumberFormat="1" applyFont="1" applyFill="1" applyBorder="1" applyAlignment="1">
      <alignment horizontal="center"/>
    </xf>
    <xf numFmtId="0" fontId="6" fillId="22" borderId="9" xfId="0" applyFont="1" applyFill="1" applyBorder="1" applyAlignment="1">
      <alignment horizontal="center"/>
    </xf>
    <xf numFmtId="0" fontId="1" fillId="22" borderId="16" xfId="0" applyFont="1" applyFill="1" applyBorder="1" applyAlignment="1">
      <alignment horizontal="center" wrapText="1"/>
    </xf>
    <xf numFmtId="0" fontId="9" fillId="4" borderId="17" xfId="0" applyFont="1" applyFill="1" applyBorder="1" applyAlignment="1">
      <alignment horizontal="center" wrapText="1"/>
    </xf>
    <xf numFmtId="0" fontId="1" fillId="5" borderId="17" xfId="0" applyFont="1" applyFill="1" applyBorder="1" applyAlignment="1">
      <alignment horizontal="center" wrapText="1"/>
    </xf>
    <xf numFmtId="0" fontId="1" fillId="6" borderId="17" xfId="0" applyFont="1" applyFill="1" applyBorder="1" applyAlignment="1">
      <alignment horizontal="center" wrapText="1"/>
    </xf>
    <xf numFmtId="165" fontId="1" fillId="22" borderId="10" xfId="0" applyNumberFormat="1" applyFont="1" applyFill="1" applyBorder="1" applyAlignment="1">
      <alignment horizontal="center" wrapText="1"/>
    </xf>
    <xf numFmtId="165" fontId="9" fillId="4" borderId="11" xfId="0" applyNumberFormat="1" applyFont="1" applyFill="1" applyBorder="1" applyAlignment="1">
      <alignment horizontal="center" wrapText="1"/>
    </xf>
    <xf numFmtId="165" fontId="1" fillId="5" borderId="11" xfId="0" applyNumberFormat="1" applyFont="1" applyFill="1" applyBorder="1" applyAlignment="1">
      <alignment horizontal="center" wrapText="1"/>
    </xf>
    <xf numFmtId="165" fontId="1" fillId="6" borderId="11" xfId="0" applyNumberFormat="1" applyFont="1" applyFill="1" applyBorder="1" applyAlignment="1">
      <alignment horizontal="center" wrapText="1"/>
    </xf>
    <xf numFmtId="165" fontId="1" fillId="22" borderId="19" xfId="0" applyNumberFormat="1" applyFont="1" applyFill="1" applyBorder="1" applyAlignment="1">
      <alignment horizontal="center" wrapText="1"/>
    </xf>
    <xf numFmtId="165" fontId="9" fillId="4" borderId="3" xfId="0" applyNumberFormat="1" applyFont="1" applyFill="1" applyBorder="1" applyAlignment="1">
      <alignment horizontal="center" wrapText="1"/>
    </xf>
    <xf numFmtId="165" fontId="1" fillId="5" borderId="3" xfId="0" applyNumberFormat="1" applyFont="1" applyFill="1" applyBorder="1" applyAlignment="1">
      <alignment horizontal="center" wrapText="1"/>
    </xf>
    <xf numFmtId="165" fontId="1" fillId="6" borderId="3" xfId="0" applyNumberFormat="1" applyFont="1" applyFill="1" applyBorder="1" applyAlignment="1">
      <alignment horizontal="center" wrapText="1"/>
    </xf>
    <xf numFmtId="0" fontId="1" fillId="6" borderId="16" xfId="0" applyFont="1" applyFill="1" applyBorder="1" applyAlignment="1">
      <alignment horizontal="center" wrapText="1"/>
    </xf>
    <xf numFmtId="0" fontId="1" fillId="6" borderId="18" xfId="0" applyFont="1" applyFill="1" applyBorder="1" applyAlignment="1">
      <alignment horizontal="center"/>
    </xf>
    <xf numFmtId="165" fontId="1" fillId="6" borderId="10" xfId="0" applyNumberFormat="1" applyFont="1" applyFill="1" applyBorder="1" applyAlignment="1">
      <alignment horizontal="center" wrapText="1"/>
    </xf>
    <xf numFmtId="164" fontId="1" fillId="6" borderId="14" xfId="1" applyNumberFormat="1" applyFont="1" applyFill="1" applyBorder="1" applyAlignment="1">
      <alignment horizontal="center"/>
    </xf>
    <xf numFmtId="165" fontId="1" fillId="6" borderId="19" xfId="0" applyNumberFormat="1" applyFont="1" applyFill="1" applyBorder="1" applyAlignment="1">
      <alignment horizontal="center" wrapText="1"/>
    </xf>
    <xf numFmtId="164" fontId="1" fillId="6" borderId="15" xfId="1" quotePrefix="1" applyNumberFormat="1" applyFont="1" applyFill="1" applyBorder="1" applyAlignment="1">
      <alignment horizontal="center"/>
    </xf>
    <xf numFmtId="0" fontId="5" fillId="5" borderId="6" xfId="0" applyFont="1" applyFill="1" applyBorder="1" applyAlignment="1">
      <alignment horizontal="center" wrapText="1"/>
    </xf>
    <xf numFmtId="0" fontId="1" fillId="5" borderId="16" xfId="0" applyFont="1" applyFill="1" applyBorder="1" applyAlignment="1">
      <alignment horizontal="center" wrapText="1"/>
    </xf>
    <xf numFmtId="0" fontId="1" fillId="5" borderId="18" xfId="0" applyFont="1" applyFill="1" applyBorder="1" applyAlignment="1">
      <alignment horizontal="center"/>
    </xf>
    <xf numFmtId="165" fontId="1" fillId="5" borderId="10" xfId="0" applyNumberFormat="1" applyFont="1" applyFill="1" applyBorder="1" applyAlignment="1">
      <alignment horizontal="center" wrapText="1"/>
    </xf>
    <xf numFmtId="164" fontId="1" fillId="5" borderId="14" xfId="1" applyNumberFormat="1" applyFont="1" applyFill="1" applyBorder="1" applyAlignment="1">
      <alignment horizontal="center"/>
    </xf>
    <xf numFmtId="165" fontId="1" fillId="5" borderId="19" xfId="0" applyNumberFormat="1" applyFont="1" applyFill="1" applyBorder="1" applyAlignment="1">
      <alignment horizontal="center" wrapText="1"/>
    </xf>
    <xf numFmtId="164" fontId="1" fillId="5" borderId="15" xfId="1" quotePrefix="1" applyNumberFormat="1" applyFont="1" applyFill="1" applyBorder="1" applyAlignment="1">
      <alignment horizontal="center"/>
    </xf>
    <xf numFmtId="0" fontId="9" fillId="4" borderId="16" xfId="0" applyFont="1" applyFill="1" applyBorder="1" applyAlignment="1">
      <alignment horizontal="center" wrapText="1"/>
    </xf>
    <xf numFmtId="165" fontId="9" fillId="4" borderId="10" xfId="0" applyNumberFormat="1" applyFont="1" applyFill="1" applyBorder="1" applyAlignment="1">
      <alignment horizontal="center" wrapText="1"/>
    </xf>
    <xf numFmtId="165" fontId="1" fillId="4" borderId="19" xfId="0" applyNumberFormat="1" applyFont="1" applyFill="1" applyBorder="1" applyAlignment="1">
      <alignment horizontal="center" wrapText="1"/>
    </xf>
    <xf numFmtId="164" fontId="9" fillId="4" borderId="15" xfId="1" quotePrefix="1" applyNumberFormat="1" applyFont="1" applyFill="1" applyBorder="1" applyAlignment="1">
      <alignment horizontal="center"/>
    </xf>
    <xf numFmtId="0" fontId="6" fillId="22" borderId="10" xfId="0" applyFont="1" applyFill="1" applyBorder="1" applyAlignment="1">
      <alignment horizontal="center" wrapText="1"/>
    </xf>
    <xf numFmtId="0" fontId="6" fillId="5" borderId="19" xfId="0" applyFont="1" applyFill="1" applyBorder="1" applyAlignment="1">
      <alignment horizontal="center" wrapText="1"/>
    </xf>
    <xf numFmtId="0" fontId="1" fillId="5" borderId="22" xfId="0" applyFont="1" applyFill="1" applyBorder="1" applyAlignment="1">
      <alignment horizontal="center" wrapText="1"/>
    </xf>
    <xf numFmtId="165" fontId="1" fillId="5" borderId="10" xfId="0" applyNumberFormat="1" applyFont="1" applyFill="1" applyBorder="1" applyAlignment="1">
      <alignment horizontal="center"/>
    </xf>
    <xf numFmtId="169" fontId="1" fillId="5" borderId="10" xfId="0" applyNumberFormat="1" applyFont="1" applyFill="1" applyBorder="1" applyAlignment="1">
      <alignment horizontal="center"/>
    </xf>
    <xf numFmtId="165" fontId="1" fillId="5" borderId="19" xfId="0" applyNumberFormat="1" applyFont="1" applyFill="1" applyBorder="1" applyAlignment="1">
      <alignment horizontal="center"/>
    </xf>
    <xf numFmtId="0" fontId="11" fillId="0" borderId="23" xfId="0" applyFont="1" applyBorder="1"/>
    <xf numFmtId="0" fontId="1" fillId="8" borderId="24" xfId="0" applyFont="1" applyFill="1" applyBorder="1" applyAlignment="1">
      <alignment wrapText="1"/>
    </xf>
    <xf numFmtId="164" fontId="1" fillId="6" borderId="18" xfId="1" applyNumberFormat="1" applyFont="1" applyFill="1" applyBorder="1" applyAlignment="1">
      <alignment horizontal="center"/>
    </xf>
    <xf numFmtId="164" fontId="1" fillId="6" borderId="15" xfId="1" applyNumberFormat="1" applyFont="1" applyFill="1" applyBorder="1" applyAlignment="1">
      <alignment horizontal="center"/>
    </xf>
    <xf numFmtId="0" fontId="1" fillId="0" borderId="25" xfId="0" applyFont="1" applyBorder="1"/>
    <xf numFmtId="0" fontId="1" fillId="6" borderId="14" xfId="0" applyFont="1" applyFill="1" applyBorder="1" applyAlignment="1">
      <alignment horizontal="center"/>
    </xf>
    <xf numFmtId="0" fontId="18" fillId="6" borderId="21" xfId="0" applyFont="1" applyFill="1" applyBorder="1" applyAlignment="1">
      <alignment horizontal="center" wrapText="1"/>
    </xf>
    <xf numFmtId="0" fontId="9" fillId="6" borderId="8" xfId="0" applyFont="1" applyFill="1" applyBorder="1" applyAlignment="1">
      <alignment horizontal="center" wrapText="1"/>
    </xf>
    <xf numFmtId="3" fontId="9" fillId="6" borderId="9" xfId="0" applyNumberFormat="1" applyFont="1" applyFill="1" applyBorder="1" applyAlignment="1">
      <alignment horizontal="center"/>
    </xf>
    <xf numFmtId="0" fontId="9" fillId="6" borderId="9" xfId="0" applyFont="1" applyFill="1" applyBorder="1" applyAlignment="1">
      <alignment horizontal="center"/>
    </xf>
    <xf numFmtId="165" fontId="9" fillId="6" borderId="9" xfId="0" applyNumberFormat="1" applyFont="1" applyFill="1" applyBorder="1" applyAlignment="1">
      <alignment horizontal="center"/>
    </xf>
    <xf numFmtId="169" fontId="9" fillId="6" borderId="9" xfId="0" applyNumberFormat="1" applyFont="1" applyFill="1" applyBorder="1" applyAlignment="1">
      <alignment horizontal="center"/>
    </xf>
    <xf numFmtId="165" fontId="9" fillId="6" borderId="21" xfId="0" applyNumberFormat="1" applyFont="1" applyFill="1" applyBorder="1" applyAlignment="1">
      <alignment horizontal="center"/>
    </xf>
    <xf numFmtId="0" fontId="9" fillId="6" borderId="18" xfId="0" applyFont="1" applyFill="1" applyBorder="1" applyAlignment="1">
      <alignment horizontal="center"/>
    </xf>
    <xf numFmtId="164" fontId="9" fillId="6" borderId="14" xfId="1" applyNumberFormat="1" applyFont="1" applyFill="1" applyBorder="1" applyAlignment="1">
      <alignment horizontal="center"/>
    </xf>
    <xf numFmtId="0" fontId="9" fillId="6" borderId="14" xfId="0" applyFont="1" applyFill="1" applyBorder="1" applyAlignment="1">
      <alignment horizontal="center"/>
    </xf>
    <xf numFmtId="164" fontId="9" fillId="6" borderId="14" xfId="1" quotePrefix="1" applyNumberFormat="1" applyFont="1" applyFill="1" applyBorder="1" applyAlignment="1">
      <alignment horizontal="center"/>
    </xf>
    <xf numFmtId="164" fontId="9" fillId="6" borderId="15" xfId="1" applyNumberFormat="1" applyFont="1" applyFill="1" applyBorder="1" applyAlignment="1">
      <alignment horizontal="center"/>
    </xf>
    <xf numFmtId="0" fontId="11" fillId="0" borderId="14" xfId="0" applyFont="1" applyBorder="1"/>
    <xf numFmtId="0" fontId="0" fillId="0" borderId="0" xfId="0" applyAlignment="1">
      <alignment horizontal="left" vertical="center" wrapText="1"/>
    </xf>
    <xf numFmtId="170" fontId="20" fillId="13" borderId="13" xfId="2" applyNumberFormat="1" applyFont="1" applyFill="1" applyBorder="1" applyAlignment="1">
      <alignment horizontal="center"/>
    </xf>
    <xf numFmtId="170" fontId="20" fillId="13" borderId="12" xfId="2" applyNumberFormat="1" applyFont="1" applyFill="1" applyBorder="1" applyAlignment="1">
      <alignment horizontal="center"/>
    </xf>
    <xf numFmtId="1" fontId="20" fillId="13" borderId="12" xfId="0" applyNumberFormat="1" applyFont="1" applyFill="1" applyBorder="1" applyAlignment="1">
      <alignment horizontal="center"/>
    </xf>
    <xf numFmtId="164" fontId="20" fillId="13" borderId="12" xfId="1" applyNumberFormat="1" applyFont="1" applyFill="1" applyBorder="1" applyAlignment="1">
      <alignment horizontal="center"/>
    </xf>
    <xf numFmtId="0" fontId="20" fillId="13" borderId="26" xfId="0" applyFont="1" applyFill="1" applyBorder="1"/>
    <xf numFmtId="0" fontId="20" fillId="13" borderId="12" xfId="0" applyFont="1" applyFill="1" applyBorder="1"/>
    <xf numFmtId="164" fontId="9" fillId="20" borderId="14" xfId="1" applyNumberFormat="1" applyFont="1" applyFill="1" applyBorder="1" applyAlignment="1">
      <alignment horizontal="center"/>
    </xf>
    <xf numFmtId="170" fontId="1" fillId="3" borderId="12" xfId="0" applyNumberFormat="1" applyFont="1" applyFill="1" applyBorder="1" applyAlignment="1">
      <alignment horizontal="center"/>
    </xf>
    <xf numFmtId="170" fontId="1" fillId="21" borderId="9" xfId="0" applyNumberFormat="1" applyFont="1" applyFill="1" applyBorder="1" applyAlignment="1">
      <alignment horizontal="center"/>
    </xf>
    <xf numFmtId="164" fontId="15" fillId="0" borderId="8" xfId="1" applyNumberFormat="1" applyFont="1" applyFill="1" applyBorder="1" applyAlignment="1">
      <alignment horizontal="center" vertical="center" wrapText="1"/>
    </xf>
    <xf numFmtId="164" fontId="15" fillId="0" borderId="8" xfId="0" applyNumberFormat="1" applyFont="1" applyBorder="1" applyAlignment="1">
      <alignment horizontal="center" vertical="center" wrapText="1"/>
    </xf>
    <xf numFmtId="166" fontId="15" fillId="0" borderId="8" xfId="0" applyNumberFormat="1" applyFont="1" applyBorder="1" applyAlignment="1">
      <alignment horizontal="center" vertical="center" wrapText="1"/>
    </xf>
    <xf numFmtId="170" fontId="15" fillId="0" borderId="8" xfId="2" applyNumberFormat="1" applyFont="1" applyFill="1" applyBorder="1" applyAlignment="1">
      <alignment horizontal="center" vertical="center" wrapText="1"/>
    </xf>
    <xf numFmtId="0" fontId="15" fillId="0" borderId="8" xfId="0" applyFont="1" applyBorder="1" applyAlignment="1">
      <alignment horizontal="center" vertical="center" wrapText="1"/>
    </xf>
    <xf numFmtId="44" fontId="9" fillId="7" borderId="9" xfId="2" applyFont="1" applyFill="1" applyBorder="1" applyAlignment="1">
      <alignment horizontal="right"/>
    </xf>
    <xf numFmtId="170" fontId="9" fillId="7" borderId="9" xfId="2" applyNumberFormat="1" applyFont="1" applyFill="1" applyBorder="1" applyAlignment="1">
      <alignment horizontal="right"/>
    </xf>
    <xf numFmtId="42" fontId="9" fillId="7" borderId="9" xfId="2" applyNumberFormat="1" applyFont="1" applyFill="1" applyBorder="1" applyAlignment="1">
      <alignment horizontal="right"/>
    </xf>
    <xf numFmtId="0" fontId="6" fillId="6" borderId="9" xfId="0" applyFont="1" applyFill="1" applyBorder="1" applyAlignment="1">
      <alignment horizontal="center" wrapText="1"/>
    </xf>
    <xf numFmtId="0" fontId="17" fillId="6" borderId="9" xfId="0" applyFont="1" applyFill="1" applyBorder="1" applyAlignment="1">
      <alignment horizontal="center" wrapText="1"/>
    </xf>
    <xf numFmtId="0" fontId="6" fillId="5" borderId="9" xfId="0" applyFont="1" applyFill="1" applyBorder="1" applyAlignment="1">
      <alignment horizontal="center" wrapText="1"/>
    </xf>
    <xf numFmtId="0" fontId="6" fillId="5" borderId="10" xfId="0" applyFont="1" applyFill="1" applyBorder="1" applyAlignment="1">
      <alignment horizontal="center" wrapText="1"/>
    </xf>
    <xf numFmtId="0" fontId="1" fillId="0" borderId="0" xfId="0" applyFont="1" applyAlignment="1">
      <alignment horizontal="left" vertical="top" wrapText="1"/>
    </xf>
    <xf numFmtId="0" fontId="6"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center"/>
    </xf>
    <xf numFmtId="0" fontId="6" fillId="4" borderId="9" xfId="0" applyFont="1" applyFill="1" applyBorder="1" applyAlignment="1">
      <alignment horizontal="center" wrapText="1"/>
    </xf>
    <xf numFmtId="0" fontId="17" fillId="4" borderId="9" xfId="0" applyFont="1" applyFill="1" applyBorder="1" applyAlignment="1">
      <alignment horizontal="center" wrapText="1"/>
    </xf>
    <xf numFmtId="0" fontId="5" fillId="0" borderId="0" xfId="0" applyFont="1" applyAlignment="1">
      <alignment horizontal="left" vertical="top"/>
    </xf>
    <xf numFmtId="0" fontId="5" fillId="0" borderId="0" xfId="0" applyFont="1" applyAlignment="1">
      <alignment horizontal="left" vertical="top" wrapText="1"/>
    </xf>
    <xf numFmtId="0" fontId="6" fillId="22" borderId="9" xfId="0" applyFont="1" applyFill="1" applyBorder="1" applyAlignment="1">
      <alignment horizontal="center"/>
    </xf>
    <xf numFmtId="0" fontId="17" fillId="5" borderId="9" xfId="0" applyFont="1" applyFill="1" applyBorder="1" applyAlignment="1">
      <alignment horizontal="center" wrapText="1"/>
    </xf>
    <xf numFmtId="0" fontId="17" fillId="5" borderId="10" xfId="0" applyFont="1" applyFill="1" applyBorder="1" applyAlignment="1">
      <alignment horizontal="center" wrapText="1"/>
    </xf>
    <xf numFmtId="0" fontId="1" fillId="0" borderId="2" xfId="0" applyFont="1" applyBorder="1" applyAlignment="1">
      <alignment horizontal="left" vertical="top" wrapText="1"/>
    </xf>
    <xf numFmtId="0" fontId="5" fillId="0" borderId="2" xfId="0" applyFont="1" applyBorder="1" applyAlignment="1">
      <alignment horizontal="left" vertical="top" wrapText="1"/>
    </xf>
    <xf numFmtId="0" fontId="6" fillId="6" borderId="10" xfId="0" applyFont="1" applyFill="1" applyBorder="1" applyAlignment="1">
      <alignment horizontal="center" wrapText="1"/>
    </xf>
    <xf numFmtId="0" fontId="17" fillId="6" borderId="11" xfId="0" applyFont="1" applyFill="1" applyBorder="1" applyAlignment="1">
      <alignment horizontal="center" wrapText="1"/>
    </xf>
    <xf numFmtId="0" fontId="17" fillId="6" borderId="14" xfId="0" applyFont="1" applyFill="1" applyBorder="1" applyAlignment="1">
      <alignment horizontal="center" wrapText="1"/>
    </xf>
    <xf numFmtId="0" fontId="17" fillId="5" borderId="11" xfId="0" applyFont="1" applyFill="1" applyBorder="1" applyAlignment="1">
      <alignment horizontal="center" wrapText="1"/>
    </xf>
    <xf numFmtId="0" fontId="6" fillId="4" borderId="10" xfId="0" applyFont="1" applyFill="1" applyBorder="1" applyAlignment="1">
      <alignment horizontal="center" wrapText="1"/>
    </xf>
    <xf numFmtId="0" fontId="17" fillId="4" borderId="11" xfId="0" applyFont="1" applyFill="1" applyBorder="1" applyAlignment="1">
      <alignment horizontal="center" wrapText="1"/>
    </xf>
    <xf numFmtId="0" fontId="8" fillId="0" borderId="0" xfId="0" applyFont="1" applyAlignment="1">
      <alignment horizontal="left" vertical="top" wrapText="1"/>
    </xf>
    <xf numFmtId="0" fontId="6" fillId="5" borderId="11" xfId="0" applyFont="1" applyFill="1" applyBorder="1" applyAlignment="1">
      <alignment horizontal="center" wrapText="1"/>
    </xf>
    <xf numFmtId="0" fontId="17" fillId="4" borderId="14" xfId="0" applyFont="1" applyFill="1" applyBorder="1" applyAlignment="1">
      <alignment horizontal="center" wrapText="1"/>
    </xf>
  </cellXfs>
  <cellStyles count="3">
    <cellStyle name="Currency 2" xfId="2" xr:uid="{305FE790-69AB-4878-9FB1-BC827DDBEF2A}"/>
    <cellStyle name="Normal" xfId="0" builtinId="0"/>
    <cellStyle name="Percent" xfId="1" builtinId="5"/>
  </cellStyles>
  <dxfs count="69">
    <dxf>
      <font>
        <b/>
        <i val="0"/>
        <strike val="0"/>
        <condense val="0"/>
        <extend val="0"/>
        <outline val="0"/>
        <shadow val="0"/>
        <u val="none"/>
        <vertAlign val="baseline"/>
        <sz val="11"/>
        <color theme="1"/>
        <name val="Calibri"/>
        <family val="2"/>
        <scheme val="minor"/>
      </font>
      <numFmt numFmtId="170" formatCode="_(&quot;$&quot;* #,##0_);_(&quot;$&quot;* \(#,##0\);_(&quot;$&quot;* &quot;-&quot;??_);_(@_)"/>
      <border diagonalUp="0" diagonalDown="0" outline="0">
        <left style="thin">
          <color indexed="64"/>
        </left>
        <right style="thin">
          <color indexed="64"/>
        </right>
        <top style="thin">
          <color indexed="64"/>
        </top>
        <bottom/>
      </border>
    </dxf>
    <dxf>
      <fill>
        <patternFill patternType="none">
          <fgColor indexed="64"/>
          <bgColor auto="1"/>
        </patternFill>
      </fill>
      <border outline="0">
        <left style="thin">
          <color indexed="64"/>
        </left>
      </border>
    </dxf>
    <dxf>
      <numFmt numFmtId="170" formatCode="_(&quot;$&quot;* #,##0_);_(&quot;$&quot;* \(#,##0\);_(&quot;$&quot;* &quot;-&quot;??_);_(@_)"/>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border outline="0">
        <right style="thin">
          <color indexed="64"/>
        </right>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numFmt numFmtId="170" formatCode="_(&quot;$&quot;* #,##0_);_(&quot;$&quot;* \(#,##0\);_(&quot;$&quot;* &quot;-&quot;??_);_(@_)"/>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border outline="0">
        <left style="thin">
          <color indexed="64"/>
        </left>
      </border>
    </dxf>
    <dxf>
      <numFmt numFmtId="170" formatCode="_(&quot;$&quot;* #,##0_);_(&quot;$&quot;* \(#,##0\);_(&quot;$&quot;* &quot;-&quot;??_);_(@_)"/>
      <alignment horizont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border outline="0">
        <right style="thin">
          <color indexed="64"/>
        </right>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rgb="FF000000"/>
        </top>
      </border>
    </dxf>
    <dxf>
      <font>
        <b/>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indexed="64"/>
        </bottom>
      </border>
    </dxf>
    <dxf>
      <font>
        <b/>
        <i val="0"/>
        <strike val="0"/>
        <condense val="0"/>
        <extend val="0"/>
        <outline val="0"/>
        <shadow val="0"/>
        <u val="none"/>
        <vertAlign val="baseline"/>
        <sz val="11"/>
        <color theme="1"/>
        <name val="Calibri"/>
        <family val="2"/>
        <scheme val="minor"/>
      </font>
      <numFmt numFmtId="170" formatCode="_(&quot;$&quot;* #,##0_);_(&quot;$&quot;* \(#,##0\);_(&quot;$&quot;* &quot;-&quot;??_);_(@_)"/>
      <border diagonalUp="0" diagonalDown="0" outline="0">
        <left style="thin">
          <color indexed="64"/>
        </left>
        <right style="thin">
          <color indexed="64"/>
        </right>
        <top style="thin">
          <color indexed="64"/>
        </top>
        <bottom/>
      </border>
    </dxf>
    <dxf>
      <font>
        <sz val="10"/>
        <color rgb="FF000000"/>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sz val="10"/>
        <color rgb="FF000000"/>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z val="10"/>
        <color rgb="FF000000"/>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z val="10"/>
      </font>
      <numFmt numFmtId="34" formatCode="_(&quot;$&quot;* #,##0.00_);_(&quot;$&quot;* \(#,##0.00\);_(&quot;$&quot;* &quot;-&quot;??_);_(@_)"/>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70" formatCode="_(&quot;$&quot;* #,##0_);_(&quot;$&quot;* \(#,##0\);_(&quot;$&quot;* &quot;-&quot;??_);_(@_)"/>
      <alignment horizontal="center" vertical="bottom" textRotation="0" wrapText="0" indent="0" justifyLastLine="0" shrinkToFit="0" readingOrder="0"/>
      <border diagonalUp="0" diagonalDown="0" outline="0">
        <left style="thin">
          <color indexed="64"/>
        </left>
        <right/>
        <top style="thin">
          <color indexed="64"/>
        </top>
        <bottom/>
      </border>
    </dxf>
    <dxf>
      <font>
        <sz val="10"/>
      </font>
      <numFmt numFmtId="3"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sz val="10"/>
        <color rgb="FF000000"/>
      </font>
      <numFmt numFmtId="170" formatCode="_(&quot;$&quot;* #,##0_);_(&quot;$&quot;* \(#,##0\);_(&quot;$&quot;* &quot;-&quot;??_);_(@_)"/>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z val="10"/>
        <color rgb="FF000000"/>
      </font>
      <numFmt numFmtId="1" formatCode="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Calibri"/>
        <family val="2"/>
        <scheme val="none"/>
      </font>
      <numFmt numFmtId="164" formatCode="0.0%"/>
      <fill>
        <patternFill patternType="solid">
          <fgColor rgb="FF000000"/>
          <bgColor rgb="FFDDEBF7"/>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border>
    </dxf>
    <dxf>
      <font>
        <sz val="10"/>
        <color rgb="FF000000"/>
      </font>
      <fill>
        <patternFill patternType="solid">
          <fgColor rgb="FF000000"/>
          <bgColor rgb="FFDDEBF7"/>
        </patternFill>
      </fill>
      <border diagonalUp="0" diagonalDown="0">
        <left/>
        <right/>
        <top style="thin">
          <color indexed="64"/>
        </top>
        <bottom/>
        <vertical/>
        <horizontal/>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border>
    </dxf>
    <dxf>
      <font>
        <sz val="10"/>
        <color rgb="FF000000"/>
      </font>
      <fill>
        <patternFill patternType="solid">
          <fgColor rgb="FF000000"/>
          <bgColor rgb="FFDDEBF7"/>
        </patternFill>
      </fill>
      <border diagonalUp="0" diagonalDown="0">
        <left style="thin">
          <color indexed="64"/>
        </left>
        <right/>
        <top style="thin">
          <color indexed="64"/>
        </top>
        <bottom/>
        <vertical/>
        <horizontal/>
      </border>
    </dxf>
    <dxf>
      <border>
        <top style="thin">
          <color rgb="FF000000"/>
        </top>
      </border>
    </dxf>
    <dxf>
      <font>
        <b/>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font>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80EB8CE3-6F14-4D12-BF3E-C90DB28F9A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semail.sharepoint.com/Ibp/Center/Projects/102771%20-%20NY%20OTDA/Results%20tables/ATTIS%20Results_Baseline.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K:\Ibp\Center\Projects\102771%20-%20NY%20OTDA\Task%206%20Proposed%20Policy%20Sims\Task%206%20results\Simulation%20output\NY19_EnactPerm%20output.xlsx" TargetMode="External"/><Relationship Id="rId2" Type="http://schemas.microsoft.com/office/2019/04/relationships/externalLinkLongPath" Target="https://nysemail.sharepoint.com/teams/OTDA.365.CO.CPRAC-CPRACDocs/Shared%20Documents/CPRAC%20Docs/Urban%20Institute/Deliverables/Task%206%20-%20Proposed%20Policies/Combinations%20Data%20(rec'd%207-15-24)/Simulation%20output/NY19_EnactPerm%20output.xlsx?A60E2183" TargetMode="External"/><Relationship Id="rId1" Type="http://schemas.openxmlformats.org/officeDocument/2006/relationships/externalLinkPath" Target="file:///\\A60E2183\NY19_EnactPerm%20output.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K:\Ibp\Center\Projects\102771%20-%20NY%20OTDA\Task%207%20Combined%20Policy%20Sims\Task%207%20results\Simulation%20output\Combined%20Package%204\NY19_C_Pkg4.xlsx" TargetMode="External"/><Relationship Id="rId2" Type="http://schemas.microsoft.com/office/2019/04/relationships/externalLinkLongPath" Target="https://nysemail.sharepoint.com/teams/OTDA.365.CO.CPRAC-CPRACDocs/Shared%20Documents/CPRAC%20Docs/Urban%20Institute/Deliverables/Task%206%20-%20Proposed%20Policies/Combinations%20Data%20(rec'd%207-15-24)/Simulation%20output/Combined%20Package%204/NY19_C_Pkg4.xlsx?EDD0C506" TargetMode="External"/><Relationship Id="rId1" Type="http://schemas.openxmlformats.org/officeDocument/2006/relationships/externalLinkPath" Target="file:///\\EDD0C506\NY19_C_Pkg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IS Summary Tables"/>
      <sheetName val="placeholder for nav tables"/>
    </sheetNames>
    <sheetDataSet>
      <sheetData sheetId="0">
        <row r="172">
          <cell r="C172">
            <v>8068</v>
          </cell>
          <cell r="D172">
            <v>2087</v>
          </cell>
          <cell r="G172">
            <v>412</v>
          </cell>
          <cell r="H172">
            <v>349</v>
          </cell>
        </row>
        <row r="615">
          <cell r="J615">
            <v>18879900</v>
          </cell>
        </row>
        <row r="617">
          <cell r="J617">
            <v>10430800</v>
          </cell>
        </row>
        <row r="618">
          <cell r="J618">
            <v>2625710</v>
          </cell>
        </row>
        <row r="619">
          <cell r="J619">
            <v>1627800</v>
          </cell>
        </row>
        <row r="620">
          <cell r="J620">
            <v>3645790</v>
          </cell>
        </row>
        <row r="621">
          <cell r="J621">
            <v>549715</v>
          </cell>
        </row>
        <row r="633">
          <cell r="J633">
            <v>3993930</v>
          </cell>
        </row>
        <row r="634">
          <cell r="J634">
            <v>1522910</v>
          </cell>
        </row>
        <row r="635">
          <cell r="J635">
            <v>7623040</v>
          </cell>
        </row>
        <row r="636">
          <cell r="J636">
            <v>2557620</v>
          </cell>
        </row>
        <row r="637">
          <cell r="J637">
            <v>3182360</v>
          </cell>
        </row>
        <row r="839">
          <cell r="J839">
            <v>3993930</v>
          </cell>
        </row>
        <row r="841">
          <cell r="J841">
            <v>1910530</v>
          </cell>
        </row>
        <row r="842">
          <cell r="J842">
            <v>581319</v>
          </cell>
        </row>
        <row r="843">
          <cell r="J843">
            <v>302557</v>
          </cell>
        </row>
        <row r="844">
          <cell r="J844">
            <v>995531</v>
          </cell>
        </row>
        <row r="845">
          <cell r="J845">
            <v>203998</v>
          </cell>
        </row>
        <row r="857">
          <cell r="J857">
            <v>646360</v>
          </cell>
        </row>
        <row r="858">
          <cell r="J858">
            <v>461909</v>
          </cell>
        </row>
        <row r="859">
          <cell r="J859">
            <v>1738360</v>
          </cell>
        </row>
        <row r="860">
          <cell r="J860">
            <v>1147310</v>
          </cell>
        </row>
        <row r="1033">
          <cell r="J1033">
            <v>7253210</v>
          </cell>
        </row>
        <row r="1259">
          <cell r="J1259">
            <v>2952930</v>
          </cell>
        </row>
        <row r="2024">
          <cell r="H2024">
            <v>8135460</v>
          </cell>
        </row>
        <row r="2044">
          <cell r="H2044">
            <v>18879900</v>
          </cell>
        </row>
        <row r="2631">
          <cell r="H2631">
            <v>874058</v>
          </cell>
        </row>
        <row r="2651">
          <cell r="H2651">
            <v>2087430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cript (key results)"/>
      <sheetName val="SPM tables"/>
      <sheetName val="ESCC"/>
      <sheetName val="fam pov"/>
      <sheetName val="fam pov 2"/>
    </sheetNames>
    <sheetDataSet>
      <sheetData sheetId="0">
        <row r="13">
          <cell r="B13">
            <v>2509.2199999999998</v>
          </cell>
        </row>
        <row r="15">
          <cell r="B15">
            <v>230621</v>
          </cell>
        </row>
        <row r="22">
          <cell r="B22">
            <v>10770884608</v>
          </cell>
        </row>
        <row r="23">
          <cell r="B23">
            <v>-120473936</v>
          </cell>
        </row>
        <row r="34">
          <cell r="B34">
            <v>110360</v>
          </cell>
        </row>
        <row r="35">
          <cell r="B35">
            <v>-3390</v>
          </cell>
        </row>
        <row r="52">
          <cell r="B52">
            <v>111363</v>
          </cell>
        </row>
        <row r="54">
          <cell r="B54">
            <v>534268608</v>
          </cell>
        </row>
        <row r="56">
          <cell r="B56">
            <v>546385</v>
          </cell>
        </row>
        <row r="60">
          <cell r="B60">
            <v>7275574784</v>
          </cell>
        </row>
        <row r="70">
          <cell r="B70">
            <v>1469027</v>
          </cell>
        </row>
        <row r="71">
          <cell r="B71">
            <v>226901568</v>
          </cell>
        </row>
        <row r="73">
          <cell r="B73">
            <v>40682</v>
          </cell>
        </row>
        <row r="74">
          <cell r="B74">
            <v>40682</v>
          </cell>
        </row>
        <row r="75">
          <cell r="B75">
            <v>3649</v>
          </cell>
        </row>
        <row r="87">
          <cell r="B87">
            <v>1424903</v>
          </cell>
        </row>
        <row r="88">
          <cell r="B88">
            <v>3689094144</v>
          </cell>
        </row>
        <row r="266">
          <cell r="B266">
            <v>3523630080</v>
          </cell>
        </row>
        <row r="267">
          <cell r="B267">
            <v>76778</v>
          </cell>
        </row>
        <row r="268">
          <cell r="B268">
            <v>634534912</v>
          </cell>
        </row>
        <row r="271">
          <cell r="B271">
            <v>524597</v>
          </cell>
        </row>
        <row r="276">
          <cell r="B276">
            <v>36998860800</v>
          </cell>
        </row>
        <row r="277">
          <cell r="B277">
            <v>-734324864</v>
          </cell>
        </row>
        <row r="278">
          <cell r="B278">
            <v>1004818</v>
          </cell>
        </row>
        <row r="279">
          <cell r="B279">
            <v>617</v>
          </cell>
        </row>
        <row r="280">
          <cell r="B280">
            <v>483375</v>
          </cell>
        </row>
        <row r="281">
          <cell r="B281">
            <v>375</v>
          </cell>
        </row>
        <row r="296">
          <cell r="B296">
            <v>129954</v>
          </cell>
        </row>
        <row r="297">
          <cell r="B297">
            <v>946201216</v>
          </cell>
        </row>
        <row r="298">
          <cell r="B298">
            <v>11483</v>
          </cell>
        </row>
        <row r="299">
          <cell r="B299">
            <v>100339784</v>
          </cell>
        </row>
        <row r="303">
          <cell r="B303">
            <v>377128</v>
          </cell>
        </row>
        <row r="304">
          <cell r="B304">
            <v>1910539136</v>
          </cell>
        </row>
        <row r="306">
          <cell r="B306">
            <v>38034</v>
          </cell>
        </row>
        <row r="308">
          <cell r="B308">
            <v>196137</v>
          </cell>
        </row>
        <row r="310">
          <cell r="B310">
            <v>90015</v>
          </cell>
        </row>
        <row r="311">
          <cell r="B311">
            <v>352027712</v>
          </cell>
        </row>
      </sheetData>
      <sheetData sheetId="1">
        <row r="615">
          <cell r="D615">
            <v>657049</v>
          </cell>
          <cell r="E615">
            <v>2483610</v>
          </cell>
          <cell r="F615">
            <v>5782330</v>
          </cell>
          <cell r="G615">
            <v>8250800</v>
          </cell>
        </row>
        <row r="617">
          <cell r="D617">
            <v>285079</v>
          </cell>
          <cell r="E617">
            <v>931376</v>
          </cell>
          <cell r="F617">
            <v>2062980</v>
          </cell>
          <cell r="G617">
            <v>3197450</v>
          </cell>
        </row>
        <row r="618">
          <cell r="D618">
            <v>109325</v>
          </cell>
          <cell r="E618">
            <v>437817</v>
          </cell>
          <cell r="F618">
            <v>1120250</v>
          </cell>
          <cell r="G618">
            <v>1535650</v>
          </cell>
        </row>
        <row r="619">
          <cell r="D619">
            <v>95665</v>
          </cell>
          <cell r="E619">
            <v>328160</v>
          </cell>
          <cell r="F619">
            <v>659561</v>
          </cell>
          <cell r="G619">
            <v>857028</v>
          </cell>
        </row>
        <row r="620">
          <cell r="D620">
            <v>146061</v>
          </cell>
          <cell r="E620">
            <v>694210</v>
          </cell>
          <cell r="F620">
            <v>1749690</v>
          </cell>
          <cell r="G620">
            <v>2391300</v>
          </cell>
        </row>
        <row r="621">
          <cell r="D621">
            <v>20919</v>
          </cell>
          <cell r="E621">
            <v>92044</v>
          </cell>
          <cell r="F621">
            <v>189845</v>
          </cell>
          <cell r="G621">
            <v>269376</v>
          </cell>
        </row>
        <row r="633">
          <cell r="D633">
            <v>85178</v>
          </cell>
          <cell r="E633">
            <v>521578</v>
          </cell>
          <cell r="F633">
            <v>1460740</v>
          </cell>
          <cell r="G633">
            <v>2090940</v>
          </cell>
        </row>
        <row r="634">
          <cell r="D634">
            <v>135732</v>
          </cell>
          <cell r="E634">
            <v>336822</v>
          </cell>
          <cell r="F634">
            <v>642472</v>
          </cell>
          <cell r="G634">
            <v>865074</v>
          </cell>
        </row>
        <row r="635">
          <cell r="D635">
            <v>238108</v>
          </cell>
          <cell r="E635">
            <v>859981</v>
          </cell>
          <cell r="F635">
            <v>2035580</v>
          </cell>
          <cell r="G635">
            <v>3026360</v>
          </cell>
        </row>
        <row r="636">
          <cell r="D636">
            <v>95767</v>
          </cell>
          <cell r="E636">
            <v>315787</v>
          </cell>
          <cell r="F636">
            <v>660380</v>
          </cell>
          <cell r="G636">
            <v>939958</v>
          </cell>
        </row>
        <row r="637">
          <cell r="D637">
            <v>102264</v>
          </cell>
          <cell r="E637">
            <v>449439</v>
          </cell>
          <cell r="F637">
            <v>983148</v>
          </cell>
          <cell r="G637">
            <v>1328460</v>
          </cell>
        </row>
        <row r="839">
          <cell r="E839">
            <v>521578</v>
          </cell>
        </row>
        <row r="841">
          <cell r="D841">
            <v>26660</v>
          </cell>
          <cell r="E841">
            <v>165705</v>
          </cell>
          <cell r="F841">
            <v>439315</v>
          </cell>
          <cell r="G841">
            <v>697384</v>
          </cell>
        </row>
        <row r="842">
          <cell r="D842">
            <v>16641</v>
          </cell>
          <cell r="E842">
            <v>86447</v>
          </cell>
          <cell r="F842">
            <v>286491</v>
          </cell>
          <cell r="G842">
            <v>398419</v>
          </cell>
        </row>
        <row r="843">
          <cell r="D843">
            <v>9243</v>
          </cell>
          <cell r="E843">
            <v>49350</v>
          </cell>
          <cell r="F843">
            <v>133762</v>
          </cell>
          <cell r="G843">
            <v>174730</v>
          </cell>
        </row>
        <row r="844">
          <cell r="D844">
            <v>27625</v>
          </cell>
          <cell r="E844">
            <v>189037</v>
          </cell>
          <cell r="F844">
            <v>527563</v>
          </cell>
          <cell r="G844">
            <v>715940</v>
          </cell>
        </row>
        <row r="845">
          <cell r="D845">
            <v>5009</v>
          </cell>
          <cell r="E845">
            <v>31039</v>
          </cell>
          <cell r="F845">
            <v>73614</v>
          </cell>
          <cell r="G845">
            <v>104470</v>
          </cell>
        </row>
        <row r="857">
          <cell r="D857">
            <v>12716</v>
          </cell>
          <cell r="E857">
            <v>87602</v>
          </cell>
          <cell r="F857">
            <v>239287</v>
          </cell>
          <cell r="G857">
            <v>344827</v>
          </cell>
        </row>
        <row r="858">
          <cell r="D858">
            <v>11478</v>
          </cell>
          <cell r="E858">
            <v>64149</v>
          </cell>
          <cell r="F858">
            <v>185569</v>
          </cell>
          <cell r="G858">
            <v>255197</v>
          </cell>
        </row>
        <row r="859">
          <cell r="E859">
            <v>215322</v>
          </cell>
        </row>
        <row r="860">
          <cell r="E860">
            <v>154505</v>
          </cell>
        </row>
        <row r="1033">
          <cell r="D1033">
            <v>387643</v>
          </cell>
          <cell r="E1033">
            <v>1002770</v>
          </cell>
          <cell r="F1033">
            <v>1910400</v>
          </cell>
          <cell r="G1033">
            <v>2713630</v>
          </cell>
        </row>
        <row r="1259">
          <cell r="D1259">
            <v>99531</v>
          </cell>
          <cell r="E1259">
            <v>425181</v>
          </cell>
          <cell r="F1259">
            <v>907479</v>
          </cell>
          <cell r="G1259">
            <v>1209820</v>
          </cell>
        </row>
        <row r="2024">
          <cell r="C2024">
            <v>345035</v>
          </cell>
          <cell r="D2024">
            <v>1459430</v>
          </cell>
          <cell r="E2024">
            <v>3377030</v>
          </cell>
          <cell r="F2024">
            <v>4486890</v>
          </cell>
        </row>
        <row r="2044">
          <cell r="C2044">
            <v>657049</v>
          </cell>
          <cell r="D2044">
            <v>2483610</v>
          </cell>
          <cell r="E2044">
            <v>5782330</v>
          </cell>
          <cell r="F2044">
            <v>8250800</v>
          </cell>
        </row>
        <row r="2631">
          <cell r="C2631">
            <v>24940</v>
          </cell>
          <cell r="D2631">
            <v>152709</v>
          </cell>
          <cell r="E2631">
            <v>413910</v>
          </cell>
          <cell r="F2631">
            <v>552597</v>
          </cell>
        </row>
        <row r="2651">
          <cell r="C2651">
            <v>47376</v>
          </cell>
          <cell r="D2651">
            <v>264451</v>
          </cell>
          <cell r="E2651">
            <v>716438</v>
          </cell>
          <cell r="F2651">
            <v>1036520</v>
          </cell>
        </row>
      </sheetData>
      <sheetData sheetId="2">
        <row r="8">
          <cell r="B8">
            <v>1524177</v>
          </cell>
          <cell r="C8">
            <v>737902174</v>
          </cell>
        </row>
      </sheetData>
      <sheetData sheetId="3">
        <row r="16">
          <cell r="H16">
            <v>436.64299999999997</v>
          </cell>
          <cell r="I16">
            <v>389.267</v>
          </cell>
          <cell r="J16">
            <v>47.375999999999998</v>
          </cell>
        </row>
        <row r="17">
          <cell r="H17">
            <v>1287.0119999999999</v>
          </cell>
          <cell r="I17">
            <v>1022.561</v>
          </cell>
          <cell r="J17">
            <v>264.45100000000002</v>
          </cell>
        </row>
        <row r="18">
          <cell r="H18">
            <v>2621.837</v>
          </cell>
          <cell r="I18">
            <v>1905.3989999999999</v>
          </cell>
          <cell r="J18">
            <v>716.43799999999999</v>
          </cell>
        </row>
        <row r="19">
          <cell r="H19">
            <v>3563.5839999999998</v>
          </cell>
          <cell r="I19">
            <v>2527.0650000000001</v>
          </cell>
          <cell r="J19">
            <v>1036.519</v>
          </cell>
        </row>
      </sheetData>
      <sheetData sheetId="4">
        <row r="16">
          <cell r="H16">
            <v>32.052999999999997</v>
          </cell>
          <cell r="I16">
            <v>15.323</v>
          </cell>
        </row>
        <row r="17">
          <cell r="H17">
            <v>158.923</v>
          </cell>
          <cell r="I17">
            <v>105.52800000000001</v>
          </cell>
        </row>
        <row r="18">
          <cell r="H18">
            <v>401.03300000000002</v>
          </cell>
          <cell r="I18">
            <v>315.40499999999997</v>
          </cell>
        </row>
        <row r="19">
          <cell r="H19">
            <v>542.47400000000005</v>
          </cell>
          <cell r="I19">
            <v>494.04500000000002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cript (key results)"/>
      <sheetName val="SPM tables"/>
      <sheetName val="CustomOutput (table 5)"/>
      <sheetName val="ESCC"/>
      <sheetName val="fam pov"/>
      <sheetName val="fam pov 2"/>
      <sheetName val="SFB"/>
      <sheetName val="Extra Benefits"/>
    </sheetNames>
    <sheetDataSet>
      <sheetData sheetId="0" refreshError="1"/>
      <sheetData sheetId="1" refreshError="1">
        <row r="615">
          <cell r="D615">
            <v>465191</v>
          </cell>
        </row>
        <row r="2631">
          <cell r="C2631">
            <v>8094</v>
          </cell>
          <cell r="D2631">
            <v>86097</v>
          </cell>
          <cell r="E2631">
            <v>368601</v>
          </cell>
          <cell r="F2631">
            <v>536886</v>
          </cell>
        </row>
        <row r="2651">
          <cell r="C2651">
            <v>21103</v>
          </cell>
          <cell r="D2651">
            <v>157486</v>
          </cell>
          <cell r="E2651">
            <v>623890</v>
          </cell>
          <cell r="F2651">
            <v>995812</v>
          </cell>
        </row>
      </sheetData>
      <sheetData sheetId="2" refreshError="1"/>
      <sheetData sheetId="3" refreshError="1"/>
      <sheetData sheetId="4" refreshError="1">
        <row r="16">
          <cell r="H16">
            <v>343.21899999999999</v>
          </cell>
          <cell r="I16">
            <v>322.11599999999999</v>
          </cell>
          <cell r="J16">
            <v>21.103000000000002</v>
          </cell>
        </row>
        <row r="17">
          <cell r="H17">
            <v>1098.3900000000001</v>
          </cell>
          <cell r="I17">
            <v>940.904</v>
          </cell>
          <cell r="J17">
            <v>157.48599999999999</v>
          </cell>
        </row>
        <row r="18">
          <cell r="H18">
            <v>2515.4119999999998</v>
          </cell>
          <cell r="I18">
            <v>1891.5219999999999</v>
          </cell>
          <cell r="J18">
            <v>623.89</v>
          </cell>
        </row>
        <row r="19">
          <cell r="H19">
            <v>3520.1010000000001</v>
          </cell>
          <cell r="I19">
            <v>2524.2890000000002</v>
          </cell>
          <cell r="J19">
            <v>995.81200000000001</v>
          </cell>
        </row>
      </sheetData>
      <sheetData sheetId="5" refreshError="1">
        <row r="16">
          <cell r="H16">
            <v>13.478</v>
          </cell>
          <cell r="I16">
            <v>7.625</v>
          </cell>
        </row>
        <row r="17">
          <cell r="H17">
            <v>93.322999999999993</v>
          </cell>
          <cell r="I17">
            <v>64.162999999999997</v>
          </cell>
        </row>
        <row r="18">
          <cell r="H18">
            <v>348.911</v>
          </cell>
          <cell r="I18">
            <v>274.97899999999998</v>
          </cell>
        </row>
        <row r="19">
          <cell r="H19">
            <v>524.85699999999997</v>
          </cell>
          <cell r="I19">
            <v>470.95499999999998</v>
          </cell>
        </row>
      </sheetData>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54102E-B8CA-4605-950A-226394AB002F}" name="Table2312753" displayName="Table2312753" ref="A1:R2" totalsRowShown="0" headerRowDxfId="68" totalsRowDxfId="65" headerRowBorderDxfId="67" tableBorderDxfId="66" totalsRowBorderDxfId="64">
  <tableColumns count="18">
    <tableColumn id="1" xr3:uid="{9E70B292-58C6-4757-9D3F-6C0C5A514688}" name="Policy #" dataDxfId="63" totalsRowDxfId="62"/>
    <tableColumn id="2" xr3:uid="{D12EA441-EFFA-42C8-BCA7-01883B94A3E3}" name="Recommended Package Components" dataDxfId="61" totalsRowDxfId="60"/>
    <tableColumn id="3" xr3:uid="{A3EB7179-9029-4405-B898-020C235446D8}" name="Baseline Child Poverty* (&quot;Before&quot;)" dataDxfId="59" totalsRowDxfId="58" dataCellStyle="Percent"/>
    <tableColumn id="4" xr3:uid="{CFDC288A-D5D9-453B-96D5-7B8C05866FB0}" name="Estimated Child Poverty (&quot;After&quot;)" dataDxfId="57" totalsRowDxfId="56" dataCellStyle="Percent"/>
    <tableColumn id="5" xr3:uid="{720106B3-7654-4ABD-B47D-E2CE700FD205}" name="Child Poverty Reduction Effect (%) ages 0-17" dataDxfId="55" totalsRowDxfId="54" dataCellStyle="Percent"/>
    <tableColumn id="6" xr3:uid="{E7865E50-E3B3-41DB-B317-55F43D11083D}" name="Child Poverty Reduction Effect (%) - ages 0-4" dataDxfId="53" totalsRowDxfId="52" dataCellStyle="Percent"/>
    <tableColumn id="7" xr3:uid="{2632819E-2D13-43CB-A877-39C9FBD4D6C3}" name="Child Poverty Reduction - White" dataDxfId="51" totalsRowDxfId="50" dataCellStyle="Percent"/>
    <tableColumn id="8" xr3:uid="{640C1FB2-1807-4F70-8D87-EB222E9E0416}" name="Child Poverty Reduction - Black" dataDxfId="49" totalsRowDxfId="48" dataCellStyle="Percent"/>
    <tableColumn id="9" xr3:uid="{2DC74D4C-E743-47DF-A69D-946ABD4A2989}" name="Child Poverty Reduction - Hispanic 1" dataDxfId="47" totalsRowDxfId="46" dataCellStyle="Percent"/>
    <tableColumn id="10" xr3:uid="{3C0DF590-1A86-4506-A62D-0112ED97E681}" name="Child Poverty Reduction - AAPI 1" dataDxfId="45" totalsRowDxfId="44" dataCellStyle="Percent"/>
    <tableColumn id="11" xr3:uid="{9C3F6C41-8108-4361-987B-A5EA11043052}" name="Positive Resource Change - Households w Children (thousands)" dataDxfId="43" totalsRowDxfId="42"/>
    <tableColumn id="12" xr3:uid="{F323DDE0-AB13-4A92-8ABF-D0E3E7663027}" name="Avg Net Annual Pos Resource Change - Households w Children" dataDxfId="41" dataCellStyle="Currency 2"/>
    <tableColumn id="21" xr3:uid="{188F78CD-0B4D-4422-BBA4-4DA00DA784DB}" name="Negative Resource Change - Households w Children (thousands)" dataDxfId="40" totalsRowDxfId="39"/>
    <tableColumn id="20" xr3:uid="{25DA94AA-2706-44B8-A294-981EB3C9A82B}" name="Avg Net Annual Neg Resource Change - Households w Children" dataDxfId="38" totalsRowDxfId="37"/>
    <tableColumn id="13" xr3:uid="{B2799B25-8E7F-43E1-BE2A-B3D86671C6CC}" name="All Ages Poverty Reduction - NYC" dataDxfId="36" totalsRowDxfId="35" dataCellStyle="Percent"/>
    <tableColumn id="14" xr3:uid="{66435CA6-9EE4-41B1-9F83-19E39BCAE6E5}" name="All Ages Poverty Reduction - ROS" dataDxfId="34" totalsRowDxfId="33" dataCellStyle="Percent"/>
    <tableColumn id="15" xr3:uid="{7088A571-4BC4-4973-969D-ECE8DBD659DC}" name="Baseline Cost ($millions)" dataDxfId="32" dataCellStyle="Currency 2"/>
    <tableColumn id="16" xr3:uid="{04CCC7C4-28CD-4CF6-854D-78C46BC61EFE}" name="Additional Annual Cost ($millions)" dataDxfId="31" totalsRowDxfId="30" dataCellStyle="Currency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98796D-6A78-4A94-BEBA-12D6B3C42EE1}" name="Table231275" displayName="Table231275" ref="A3:R12" totalsRowShown="0" dataDxfId="28" totalsRowDxfId="26" headerRowBorderDxfId="29" tableBorderDxfId="27" totalsRowBorderDxfId="25">
  <tableColumns count="18">
    <tableColumn id="1" xr3:uid="{69B2AA75-ABB7-4393-9835-8EB8C4EBFFC0}" name="TP 2" dataDxfId="24" totalsRowDxfId="23"/>
    <tableColumn id="2" xr3:uid="{4D715C4D-CEAD-40BD-9A88-F0B9248F141E}" name="Increase Max ESCC Amount to $1500 for Children 0-17, Fully Refundable" dataDxfId="22" totalsRowDxfId="21"/>
    <tableColumn id="3" xr3:uid="{E871DC9B-C93A-48AA-ABB6-E3141BD8D5F0}" name="13.1%" totalsRowDxfId="20"/>
    <tableColumn id="4" xr3:uid="{23BE8F48-E9DC-419E-83D8-D908A8F7422B}" name="10.0%" totalsRowDxfId="19"/>
    <tableColumn id="5" xr3:uid="{6C49C4C8-6EF5-4EF6-9126-BA2FEA298BA1}" name="-23.2%" totalsRowDxfId="18"/>
    <tableColumn id="6" xr3:uid="{479E5FD6-3FFE-4843-A45B-3ED0AD3C6543}" name="-25.4%" totalsRowDxfId="17"/>
    <tableColumn id="7" xr3:uid="{ECD9CFDE-0391-46E3-B9E4-74BCDDFD012D}" name="-24.3%" totalsRowDxfId="16"/>
    <tableColumn id="8" xr3:uid="{C39BCC41-87FE-4642-83A7-9D62C5AE2A51}" name="-25.0%" totalsRowDxfId="15"/>
    <tableColumn id="9" xr3:uid="{A474136D-9CE6-476A-BCC4-06F490A05070}" name="-21.5%" totalsRowDxfId="14"/>
    <tableColumn id="10" xr3:uid="{E6AA876A-50B5-4264-B764-9D0B6FE1692A}" name="-15.3%" totalsRowDxfId="13"/>
    <tableColumn id="11" xr3:uid="{522BF5DB-CEFB-4098-908A-66D602571DEA}" name="1,539" dataDxfId="12" totalsRowDxfId="11"/>
    <tableColumn id="12" xr3:uid="{91786986-961E-4A02-A7F8-C0BF2496146C}" name="$2,075 " dataDxfId="10"/>
    <tableColumn id="21" xr3:uid="{F2A52233-1982-4BC3-ABC2-6BC6D1A442B0}" name="0" dataDxfId="9" totalsRowDxfId="8"/>
    <tableColumn id="20" xr3:uid="{299B63AD-23FD-41B3-BDDB-A55194920EC6}" name="--" dataDxfId="7" totalsRowDxfId="6"/>
    <tableColumn id="13" xr3:uid="{AA6AA786-C483-47B4-96AD-8A3D454072B2}" name="-8.6%" totalsRowDxfId="5"/>
    <tableColumn id="14" xr3:uid="{129A74A0-0742-4D37-A571-F08587E7F701}" name="-8.3%" dataDxfId="4" totalsRowDxfId="3"/>
    <tableColumn id="15" xr3:uid="{CB03586E-843B-4018-B390-2E238176BF7C}" name=" $738 " dataDxfId="2"/>
    <tableColumn id="16" xr3:uid="{802D8CCD-AE93-4F35-BD76-2739867B04D0}" name=" $3,228 " dataDxfId="1" totalsRow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255C-14D8-4C68-8FF8-785485BF5FB9}">
  <sheetPr>
    <pageSetUpPr fitToPage="1"/>
  </sheetPr>
  <dimension ref="A1:R56"/>
  <sheetViews>
    <sheetView tabSelected="1" topLeftCell="F30" zoomScale="85" zoomScaleNormal="85" workbookViewId="0">
      <selection activeCell="N9" sqref="N9"/>
    </sheetView>
  </sheetViews>
  <sheetFormatPr defaultRowHeight="14.5" x14ac:dyDescent="0.35"/>
  <cols>
    <col min="1" max="1" width="10.1796875" customWidth="1"/>
    <col min="2" max="2" width="82.453125" customWidth="1"/>
    <col min="3" max="3" width="19.54296875" customWidth="1"/>
    <col min="4" max="4" width="15.1796875" customWidth="1"/>
    <col min="5" max="11" width="15.54296875" customWidth="1"/>
    <col min="12" max="12" width="15.54296875" style="64" customWidth="1"/>
    <col min="13" max="13" width="15.54296875" customWidth="1"/>
    <col min="14" max="14" width="15.54296875" style="65" customWidth="1"/>
    <col min="15" max="18" width="15.54296875" customWidth="1"/>
  </cols>
  <sheetData>
    <row r="1" spans="1:18" ht="72.5" x14ac:dyDescent="0.35">
      <c r="A1" s="25" t="s">
        <v>151</v>
      </c>
      <c r="B1" s="26" t="s">
        <v>198</v>
      </c>
      <c r="C1" s="122" t="s">
        <v>131</v>
      </c>
      <c r="D1" s="122" t="s">
        <v>132</v>
      </c>
      <c r="E1" s="436" t="s">
        <v>133</v>
      </c>
      <c r="F1" s="436" t="s">
        <v>134</v>
      </c>
      <c r="G1" s="437" t="s">
        <v>135</v>
      </c>
      <c r="H1" s="436" t="s">
        <v>136</v>
      </c>
      <c r="I1" s="437" t="s">
        <v>137</v>
      </c>
      <c r="J1" s="437" t="s">
        <v>138</v>
      </c>
      <c r="K1" s="438" t="s">
        <v>139</v>
      </c>
      <c r="L1" s="439" t="s">
        <v>140</v>
      </c>
      <c r="M1" s="438" t="s">
        <v>141</v>
      </c>
      <c r="N1" s="439" t="s">
        <v>142</v>
      </c>
      <c r="O1" s="440" t="s">
        <v>143</v>
      </c>
      <c r="P1" s="440" t="s">
        <v>144</v>
      </c>
      <c r="Q1" s="440" t="s">
        <v>145</v>
      </c>
      <c r="R1" s="439" t="s">
        <v>146</v>
      </c>
    </row>
    <row r="2" spans="1:18" x14ac:dyDescent="0.35">
      <c r="A2" s="432" t="s">
        <v>181</v>
      </c>
      <c r="B2" s="431" t="s">
        <v>175</v>
      </c>
      <c r="C2" s="430">
        <v>0.13059267438337699</v>
      </c>
      <c r="D2" s="430">
        <v>0.11793671897103855</v>
      </c>
      <c r="E2" s="430">
        <v>-9.6911679557036473E-2</v>
      </c>
      <c r="F2" s="430">
        <v>-0.1165725431792871</v>
      </c>
      <c r="G2" s="430">
        <v>-0.10082978787604475</v>
      </c>
      <c r="H2" s="430">
        <v>-0.10725646928175651</v>
      </c>
      <c r="I2" s="430">
        <v>-9.4542338272401771E-2</v>
      </c>
      <c r="J2" s="430">
        <v>-4.713272543059778E-2</v>
      </c>
      <c r="K2" s="429">
        <v>1361.69</v>
      </c>
      <c r="L2" s="428">
        <v>690.68216701305005</v>
      </c>
      <c r="M2" s="102">
        <v>96.936000000000007</v>
      </c>
      <c r="N2" s="103">
        <v>-164.43839234133901</v>
      </c>
      <c r="O2" s="430">
        <v>-3.5849612519956532E-2</v>
      </c>
      <c r="P2" s="430">
        <v>-3.2504052022105566E-2</v>
      </c>
      <c r="Q2" s="428">
        <v>737.90217399999995</v>
      </c>
      <c r="R2" s="427">
        <v>937.23782600000015</v>
      </c>
    </row>
    <row r="3" spans="1:18" x14ac:dyDescent="0.35">
      <c r="A3" s="77" t="s">
        <v>182</v>
      </c>
      <c r="B3" s="164" t="s">
        <v>176</v>
      </c>
      <c r="C3" s="165" t="s">
        <v>213</v>
      </c>
      <c r="D3" s="165" t="s">
        <v>215</v>
      </c>
      <c r="E3" s="165" t="s">
        <v>216</v>
      </c>
      <c r="F3" s="165" t="s">
        <v>217</v>
      </c>
      <c r="G3" s="165" t="s">
        <v>218</v>
      </c>
      <c r="H3" s="165" t="s">
        <v>219</v>
      </c>
      <c r="I3" s="165" t="s">
        <v>220</v>
      </c>
      <c r="J3" s="165" t="s">
        <v>221</v>
      </c>
      <c r="K3" s="166" t="s">
        <v>222</v>
      </c>
      <c r="L3" s="443" t="s">
        <v>227</v>
      </c>
      <c r="M3" s="168" t="s">
        <v>223</v>
      </c>
      <c r="N3" s="169" t="s">
        <v>32</v>
      </c>
      <c r="O3" s="165" t="s">
        <v>224</v>
      </c>
      <c r="P3" s="165" t="s">
        <v>225</v>
      </c>
      <c r="Q3" s="442" t="s">
        <v>214</v>
      </c>
      <c r="R3" s="441" t="s">
        <v>226</v>
      </c>
    </row>
    <row r="4" spans="1:18" x14ac:dyDescent="0.35">
      <c r="A4" s="224" t="s">
        <v>183</v>
      </c>
      <c r="B4" s="170" t="s">
        <v>177</v>
      </c>
      <c r="C4" s="171">
        <v>0.13059267438337677</v>
      </c>
      <c r="D4" s="172">
        <v>9.734447023357945E-2</v>
      </c>
      <c r="E4" s="172">
        <v>-0.25459471066647749</v>
      </c>
      <c r="F4" s="172">
        <v>-0.29258456286943746</v>
      </c>
      <c r="G4" s="172">
        <v>-0.25795238526296738</v>
      </c>
      <c r="H4" s="172">
        <v>-0.2750355709278518</v>
      </c>
      <c r="I4" s="172">
        <v>-0.24539111390891732</v>
      </c>
      <c r="J4" s="172">
        <v>-0.16595744680851074</v>
      </c>
      <c r="K4" s="173">
        <v>1558.14</v>
      </c>
      <c r="L4" s="174">
        <v>2361.7903397640775</v>
      </c>
      <c r="M4" s="175">
        <v>0</v>
      </c>
      <c r="N4" s="176" t="s">
        <v>32</v>
      </c>
      <c r="O4" s="172">
        <v>-9.3687261465092542E-2</v>
      </c>
      <c r="P4" s="172">
        <v>-9.1487824405866197E-2</v>
      </c>
      <c r="Q4" s="174">
        <v>737.90217399999995</v>
      </c>
      <c r="R4" s="174">
        <v>3721.7878259999998</v>
      </c>
    </row>
    <row r="5" spans="1:18" x14ac:dyDescent="0.35">
      <c r="A5" s="28" t="s">
        <v>184</v>
      </c>
      <c r="B5" s="29" t="s">
        <v>178</v>
      </c>
      <c r="C5" s="30">
        <v>0.13059267438337677</v>
      </c>
      <c r="D5" s="30">
        <v>0.13059267438337677</v>
      </c>
      <c r="E5" s="30">
        <v>0</v>
      </c>
      <c r="F5" s="30">
        <v>0</v>
      </c>
      <c r="G5" s="30">
        <v>0</v>
      </c>
      <c r="H5" s="30">
        <v>0</v>
      </c>
      <c r="I5" s="30">
        <v>0</v>
      </c>
      <c r="J5" s="30">
        <v>0</v>
      </c>
      <c r="K5" s="31">
        <v>20.870999999999999</v>
      </c>
      <c r="L5" s="32">
        <v>330.37851564371618</v>
      </c>
      <c r="M5" s="33">
        <v>0</v>
      </c>
      <c r="N5" s="434" t="s">
        <v>32</v>
      </c>
      <c r="O5" s="30">
        <v>0</v>
      </c>
      <c r="P5" s="30">
        <v>0</v>
      </c>
      <c r="Q5" s="32">
        <v>737.90217399999995</v>
      </c>
      <c r="R5" s="32">
        <v>6.821826000000101</v>
      </c>
    </row>
    <row r="6" spans="1:18" x14ac:dyDescent="0.35">
      <c r="A6" s="228" t="s">
        <v>186</v>
      </c>
      <c r="B6" s="196" t="s">
        <v>170</v>
      </c>
      <c r="C6" s="197">
        <v>0.13059267438337677</v>
      </c>
      <c r="D6" s="197">
        <v>0.12007070729832521</v>
      </c>
      <c r="E6" s="197">
        <v>-8.057088297435859E-2</v>
      </c>
      <c r="F6" s="197">
        <v>-8.6292676819263128E-2</v>
      </c>
      <c r="G6" s="197">
        <v>-7.2110075133520482E-2</v>
      </c>
      <c r="H6" s="197">
        <v>-7.4554351220979406E-2</v>
      </c>
      <c r="I6" s="197">
        <v>-9.5505112755703919E-2</v>
      </c>
      <c r="J6" s="197">
        <v>-6.35460992907802E-2</v>
      </c>
      <c r="K6" s="198">
        <v>232.065</v>
      </c>
      <c r="L6" s="199">
        <v>2299.1618727511686</v>
      </c>
      <c r="M6" s="200">
        <v>2.0619999999999998</v>
      </c>
      <c r="N6" s="435">
        <v>-573.46265761396705</v>
      </c>
      <c r="O6" s="433">
        <v>-4.4955907443316998E-2</v>
      </c>
      <c r="P6" s="197">
        <v>-2.6714054170165414E-2</v>
      </c>
      <c r="Q6" s="199">
        <v>1580.809608</v>
      </c>
      <c r="R6" s="201">
        <v>1122.7963120000022</v>
      </c>
    </row>
    <row r="7" spans="1:18" x14ac:dyDescent="0.35">
      <c r="A7" s="229" t="s">
        <v>187</v>
      </c>
      <c r="B7" s="202" t="s">
        <v>173</v>
      </c>
      <c r="C7" s="203">
        <v>0.13059267438337677</v>
      </c>
      <c r="D7" s="203">
        <v>0.10694053225770106</v>
      </c>
      <c r="E7" s="203">
        <v>-0.18111385066087907</v>
      </c>
      <c r="F7" s="203">
        <v>-0.18980435054793715</v>
      </c>
      <c r="G7" s="203">
        <v>-0.16875773211429948</v>
      </c>
      <c r="H7" s="203">
        <v>-0.19280021284717805</v>
      </c>
      <c r="I7" s="203">
        <v>-0.19614149610922729</v>
      </c>
      <c r="J7" s="203">
        <v>-0.13527862208713276</v>
      </c>
      <c r="K7" s="204">
        <v>273.29300000000001</v>
      </c>
      <c r="L7" s="205">
        <v>4035.632087173839</v>
      </c>
      <c r="M7" s="206">
        <v>1.0129999999999999</v>
      </c>
      <c r="N7" s="207">
        <v>-616.76801579466905</v>
      </c>
      <c r="O7" s="203">
        <v>-9.1467216653076888E-2</v>
      </c>
      <c r="P7" s="203">
        <v>-6.6453162530024076E-2</v>
      </c>
      <c r="Q7" s="205">
        <v>1580.809608</v>
      </c>
      <c r="R7" s="208">
        <v>2085.3514479999976</v>
      </c>
    </row>
    <row r="8" spans="1:18" x14ac:dyDescent="0.35">
      <c r="A8" s="227" t="s">
        <v>188</v>
      </c>
      <c r="B8" s="190" t="s">
        <v>174</v>
      </c>
      <c r="C8" s="162">
        <v>0.13059267438337677</v>
      </c>
      <c r="D8" s="162">
        <v>0.12674032844842048</v>
      </c>
      <c r="E8" s="162">
        <v>-2.9498943590412111E-2</v>
      </c>
      <c r="F8" s="162">
        <v>-2.0784047551581183E-2</v>
      </c>
      <c r="G8" s="162">
        <v>-1.6963881596813654E-2</v>
      </c>
      <c r="H8" s="162">
        <v>-1.8358069105926213E-2</v>
      </c>
      <c r="I8" s="162">
        <v>-4.6969640863957947E-2</v>
      </c>
      <c r="J8" s="162">
        <v>-2.8287740628166174E-2</v>
      </c>
      <c r="K8" s="191">
        <v>65.200999999999993</v>
      </c>
      <c r="L8" s="192">
        <v>2048.2968052637229</v>
      </c>
      <c r="M8" s="193">
        <v>0.997</v>
      </c>
      <c r="N8" s="194">
        <v>-363.16048144433302</v>
      </c>
      <c r="O8" s="162">
        <v>-1.2525438013470993E-2</v>
      </c>
      <c r="P8" s="162">
        <v>-7.8794743111562909E-3</v>
      </c>
      <c r="Q8" s="192">
        <v>1580.809608</v>
      </c>
      <c r="R8" s="195">
        <v>308.59584800000448</v>
      </c>
    </row>
    <row r="9" spans="1:18" x14ac:dyDescent="0.35">
      <c r="A9" s="225" t="s">
        <v>189</v>
      </c>
      <c r="B9" s="177" t="s">
        <v>172</v>
      </c>
      <c r="C9" s="30">
        <v>0.13059267438337677</v>
      </c>
      <c r="D9" s="30">
        <v>0.13059267438337677</v>
      </c>
      <c r="E9" s="30">
        <v>0</v>
      </c>
      <c r="F9" s="30">
        <v>0</v>
      </c>
      <c r="G9" s="30">
        <v>0</v>
      </c>
      <c r="H9" s="30">
        <v>0</v>
      </c>
      <c r="I9" s="30">
        <v>0</v>
      </c>
      <c r="J9" s="30">
        <v>0</v>
      </c>
      <c r="K9" s="178">
        <v>0.47</v>
      </c>
      <c r="L9" s="179">
        <v>2009.2042553191488</v>
      </c>
      <c r="M9" s="180">
        <v>0</v>
      </c>
      <c r="N9" s="181" t="s">
        <v>32</v>
      </c>
      <c r="O9" s="30">
        <v>0</v>
      </c>
      <c r="P9" s="30">
        <v>-9.7639086879170695E-6</v>
      </c>
      <c r="Q9" s="179">
        <v>1580.809608</v>
      </c>
      <c r="R9" s="182">
        <v>5.720976000004157</v>
      </c>
    </row>
    <row r="10" spans="1:18" ht="15" x14ac:dyDescent="0.35">
      <c r="A10" s="226" t="s">
        <v>190</v>
      </c>
      <c r="B10" s="183" t="s">
        <v>209</v>
      </c>
      <c r="C10" s="184">
        <v>0.13059267438337677</v>
      </c>
      <c r="D10" s="184">
        <v>0.13059267438337677</v>
      </c>
      <c r="E10" s="184">
        <v>0</v>
      </c>
      <c r="F10" s="184">
        <v>0</v>
      </c>
      <c r="G10" s="184">
        <v>0</v>
      </c>
      <c r="H10" s="184">
        <v>0</v>
      </c>
      <c r="I10" s="184">
        <v>0</v>
      </c>
      <c r="J10" s="184">
        <v>0</v>
      </c>
      <c r="K10" s="185">
        <v>0.53300000000000003</v>
      </c>
      <c r="L10" s="186">
        <v>1454.1069418386492</v>
      </c>
      <c r="M10" s="187">
        <v>0</v>
      </c>
      <c r="N10" s="188" t="s">
        <v>32</v>
      </c>
      <c r="O10" s="184">
        <v>0</v>
      </c>
      <c r="P10" s="184">
        <v>0</v>
      </c>
      <c r="Q10" s="186">
        <v>1580.809608</v>
      </c>
      <c r="R10" s="189">
        <v>2.9865040000040608</v>
      </c>
    </row>
    <row r="11" spans="1:18" ht="15" x14ac:dyDescent="0.35">
      <c r="A11" s="230" t="s">
        <v>191</v>
      </c>
      <c r="B11" s="209" t="s">
        <v>210</v>
      </c>
      <c r="C11" s="210">
        <v>0.13059267438337677</v>
      </c>
      <c r="D11" s="210">
        <v>0.12850074988795496</v>
      </c>
      <c r="E11" s="210">
        <v>-1.601869710762344E-2</v>
      </c>
      <c r="F11" s="210">
        <v>-1.0398613518197593E-2</v>
      </c>
      <c r="G11" s="211">
        <v>-1.2431731088379964E-2</v>
      </c>
      <c r="H11" s="210">
        <v>-2.5078950108158828E-2</v>
      </c>
      <c r="I11" s="211">
        <v>-1.5340912096573716E-2</v>
      </c>
      <c r="J11" s="211">
        <v>-2.0344478216818739E-2</v>
      </c>
      <c r="K11" s="212">
        <v>64.602000000000004</v>
      </c>
      <c r="L11" s="213">
        <v>2169.2672053496794</v>
      </c>
      <c r="M11" s="214">
        <v>0</v>
      </c>
      <c r="N11" s="215" t="s">
        <v>32</v>
      </c>
      <c r="O11" s="211">
        <v>-9.0651829823972501E-3</v>
      </c>
      <c r="P11" s="211">
        <v>-4.491397996445959E-3</v>
      </c>
      <c r="Q11" s="216">
        <v>3689.0941440000001</v>
      </c>
      <c r="R11" s="213">
        <v>140.57633100000021</v>
      </c>
    </row>
    <row r="12" spans="1:18" ht="14.15" customHeight="1" x14ac:dyDescent="0.35">
      <c r="A12" s="231" t="s">
        <v>185</v>
      </c>
      <c r="B12" s="217" t="s">
        <v>211</v>
      </c>
      <c r="C12" s="218">
        <v>0.13059267438337677</v>
      </c>
      <c r="D12" s="218">
        <v>0.11014189031855842</v>
      </c>
      <c r="E12" s="218">
        <v>-0.156599779898692</v>
      </c>
      <c r="F12" s="218">
        <v>-0.16899394402672804</v>
      </c>
      <c r="G12" s="218">
        <v>-0.11329772788992486</v>
      </c>
      <c r="H12" s="218">
        <v>-0.17437273705276063</v>
      </c>
      <c r="I12" s="218">
        <v>-0.20498632542835529</v>
      </c>
      <c r="J12" s="218">
        <v>-0.11065856129685914</v>
      </c>
      <c r="K12" s="219">
        <v>152.602</v>
      </c>
      <c r="L12" s="220">
        <v>6767.0148490845468</v>
      </c>
      <c r="M12" s="221">
        <v>0.254</v>
      </c>
      <c r="N12" s="222">
        <v>-107.148031496063</v>
      </c>
      <c r="O12" s="218">
        <v>-0.12469251694154568</v>
      </c>
      <c r="P12" s="218">
        <v>-6.6462926438711989E-2</v>
      </c>
      <c r="Q12" s="220">
        <v>7275.5747840000004</v>
      </c>
      <c r="R12" s="223">
        <v>3271.6837439999981</v>
      </c>
    </row>
    <row r="13" spans="1:18" ht="15" customHeight="1" x14ac:dyDescent="0.35"/>
    <row r="14" spans="1:18" ht="14.15" customHeight="1" x14ac:dyDescent="0.35">
      <c r="A14" s="425" t="s">
        <v>212</v>
      </c>
      <c r="B14" s="407" t="s">
        <v>198</v>
      </c>
      <c r="C14" s="67" t="s">
        <v>152</v>
      </c>
      <c r="D14" s="67" t="s">
        <v>153</v>
      </c>
      <c r="E14" s="67" t="s">
        <v>154</v>
      </c>
      <c r="F14" s="67" t="s">
        <v>155</v>
      </c>
      <c r="G14" s="67" t="s">
        <v>156</v>
      </c>
      <c r="H14" s="67" t="s">
        <v>157</v>
      </c>
      <c r="I14" s="67" t="s">
        <v>158</v>
      </c>
      <c r="J14" s="67" t="s">
        <v>159</v>
      </c>
      <c r="K14" s="144" t="s">
        <v>160</v>
      </c>
      <c r="L14" s="68" t="s">
        <v>161</v>
      </c>
      <c r="M14" s="67" t="s">
        <v>162</v>
      </c>
      <c r="N14" s="69" t="s">
        <v>163</v>
      </c>
      <c r="O14" s="67" t="s">
        <v>164</v>
      </c>
      <c r="P14" s="67" t="s">
        <v>165</v>
      </c>
      <c r="Q14" s="67" t="s">
        <v>166</v>
      </c>
      <c r="R14" s="67" t="s">
        <v>167</v>
      </c>
    </row>
    <row r="15" spans="1:18" s="44" customFormat="1" ht="15" customHeight="1" x14ac:dyDescent="0.35">
      <c r="A15" s="34" t="s">
        <v>147</v>
      </c>
      <c r="B15" s="34" t="s">
        <v>192</v>
      </c>
      <c r="C15" s="35">
        <v>0.13059267438337677</v>
      </c>
      <c r="D15" s="36">
        <v>6.4628323480882238E-2</v>
      </c>
      <c r="E15" s="37">
        <v>-0.50511524642527106</v>
      </c>
      <c r="F15" s="38">
        <v>-0.52619093119649962</v>
      </c>
      <c r="G15" s="38">
        <v>-0.46673908451766694</v>
      </c>
      <c r="H15" s="38">
        <v>-0.54156882251552974</v>
      </c>
      <c r="I15" s="38">
        <v>-0.53308082544687019</v>
      </c>
      <c r="J15" s="38">
        <v>-0.40062816616008107</v>
      </c>
      <c r="K15" s="39">
        <v>1574.24</v>
      </c>
      <c r="L15" s="40">
        <v>3612.6384795202766</v>
      </c>
      <c r="M15" s="41">
        <v>0.105</v>
      </c>
      <c r="N15" s="40">
        <v>-480.21047619047619</v>
      </c>
      <c r="O15" s="36">
        <v>-0.28579650959621228</v>
      </c>
      <c r="P15" s="36">
        <v>-0.20811771368314172</v>
      </c>
      <c r="Q15" s="42" t="s">
        <v>148</v>
      </c>
      <c r="R15" s="43">
        <v>8971.1354879999963</v>
      </c>
    </row>
    <row r="16" spans="1:18" ht="15" customHeight="1" x14ac:dyDescent="0.35">
      <c r="A16" s="45" t="s">
        <v>149</v>
      </c>
      <c r="B16" s="45" t="s">
        <v>193</v>
      </c>
      <c r="C16" s="46">
        <v>0.13059267438337677</v>
      </c>
      <c r="D16" s="47">
        <v>7.6985325231038099E-2</v>
      </c>
      <c r="E16" s="48">
        <v>-0.41049277385165783</v>
      </c>
      <c r="F16" s="47">
        <v>-0.44793774011373899</v>
      </c>
      <c r="G16" s="49">
        <v>-0.35167918892006883</v>
      </c>
      <c r="H16" s="49">
        <v>-0.4498710192372205</v>
      </c>
      <c r="I16" s="49">
        <v>-0.46705671376503016</v>
      </c>
      <c r="J16" s="49">
        <v>-0.31987841945288753</v>
      </c>
      <c r="K16" s="50">
        <v>1396.64</v>
      </c>
      <c r="L16" s="51">
        <v>2438.4880856913737</v>
      </c>
      <c r="M16" s="52">
        <v>95.825000000000003</v>
      </c>
      <c r="N16" s="51">
        <v>-166.6089225150013</v>
      </c>
      <c r="O16" s="47">
        <v>-0.24773370425440064</v>
      </c>
      <c r="P16" s="47">
        <v>-0.16772442344119204</v>
      </c>
      <c r="Q16" s="53" t="s">
        <v>148</v>
      </c>
      <c r="R16" s="54">
        <v>6669.4129680000078</v>
      </c>
    </row>
    <row r="17" spans="1:18" ht="15" customHeight="1" x14ac:dyDescent="0.35">
      <c r="A17" s="55" t="s">
        <v>150</v>
      </c>
      <c r="B17" s="55" t="s">
        <v>194</v>
      </c>
      <c r="C17" s="56">
        <v>0.13059267438337677</v>
      </c>
      <c r="D17" s="57">
        <v>6.961739439599593E-2</v>
      </c>
      <c r="E17" s="58">
        <v>-0.46691194797326568</v>
      </c>
      <c r="F17" s="57">
        <v>-0.5131037027762585</v>
      </c>
      <c r="G17" s="57">
        <v>-0.42325216499200397</v>
      </c>
      <c r="H17" s="57">
        <v>-0.4926024037849781</v>
      </c>
      <c r="I17" s="57">
        <v>-0.5069695350645641</v>
      </c>
      <c r="J17" s="57">
        <v>-0.37791286727456941</v>
      </c>
      <c r="K17" s="59">
        <v>1591.36</v>
      </c>
      <c r="L17" s="60">
        <v>3495.1425196058717</v>
      </c>
      <c r="M17" s="61">
        <v>0.105</v>
      </c>
      <c r="N17" s="60">
        <v>-559.21047619047613</v>
      </c>
      <c r="O17" s="57">
        <v>-0.25532570935228144</v>
      </c>
      <c r="P17" s="57">
        <v>-0.19114804038352642</v>
      </c>
      <c r="Q17" s="62" t="s">
        <v>148</v>
      </c>
      <c r="R17" s="63">
        <v>8462.4094949999999</v>
      </c>
    </row>
    <row r="18" spans="1:18" ht="15" customHeight="1" x14ac:dyDescent="0.35"/>
    <row r="19" spans="1:18" ht="15" customHeight="1" x14ac:dyDescent="0.35">
      <c r="A19" s="66" t="s">
        <v>151</v>
      </c>
      <c r="B19" s="66" t="s">
        <v>195</v>
      </c>
      <c r="C19" s="67" t="s">
        <v>152</v>
      </c>
      <c r="D19" s="67" t="s">
        <v>153</v>
      </c>
      <c r="E19" s="67" t="s">
        <v>154</v>
      </c>
      <c r="F19" s="67" t="s">
        <v>155</v>
      </c>
      <c r="G19" s="67" t="s">
        <v>156</v>
      </c>
      <c r="H19" s="67" t="s">
        <v>157</v>
      </c>
      <c r="I19" s="67" t="s">
        <v>158</v>
      </c>
      <c r="J19" s="67" t="s">
        <v>159</v>
      </c>
      <c r="K19" s="67" t="s">
        <v>160</v>
      </c>
      <c r="L19" s="68" t="s">
        <v>161</v>
      </c>
      <c r="M19" s="67" t="s">
        <v>162</v>
      </c>
      <c r="N19" s="69" t="s">
        <v>163</v>
      </c>
      <c r="O19" s="67" t="s">
        <v>164</v>
      </c>
      <c r="P19" s="67" t="s">
        <v>165</v>
      </c>
      <c r="Q19" s="67" t="s">
        <v>166</v>
      </c>
      <c r="R19" s="67" t="s">
        <v>167</v>
      </c>
    </row>
    <row r="20" spans="1:18" x14ac:dyDescent="0.35">
      <c r="A20" s="77" t="s">
        <v>182</v>
      </c>
      <c r="B20" s="164" t="s">
        <v>176</v>
      </c>
      <c r="C20" s="165">
        <v>0.13059267438337677</v>
      </c>
      <c r="D20" s="165">
        <v>0.10027441642692786</v>
      </c>
      <c r="E20" s="165">
        <v>-0.23215894842190429</v>
      </c>
      <c r="F20" s="165">
        <v>-0.25362600575943484</v>
      </c>
      <c r="G20" s="165">
        <v>-0.24258169638815977</v>
      </c>
      <c r="H20" s="165">
        <v>-0.25043089985771627</v>
      </c>
      <c r="I20" s="165">
        <v>-0.21463523014013136</v>
      </c>
      <c r="J20" s="165">
        <v>-0.15319148936170218</v>
      </c>
      <c r="K20" s="166">
        <v>1539.13</v>
      </c>
      <c r="L20" s="167">
        <v>2074.756518292802</v>
      </c>
      <c r="M20" s="168">
        <v>0</v>
      </c>
      <c r="N20" s="169" t="s">
        <v>32</v>
      </c>
      <c r="O20" s="165">
        <v>-8.5581357105171257E-2</v>
      </c>
      <c r="P20" s="165">
        <v>-8.3315432834072167E-2</v>
      </c>
      <c r="Q20" s="167">
        <v>737.90217399999995</v>
      </c>
      <c r="R20" s="167">
        <v>3227.737826</v>
      </c>
    </row>
    <row r="21" spans="1:18" ht="15" customHeight="1" x14ac:dyDescent="0.35">
      <c r="A21" s="70" t="s">
        <v>184</v>
      </c>
      <c r="B21" s="29" t="s">
        <v>178</v>
      </c>
      <c r="C21" s="71">
        <v>0.13059267438337677</v>
      </c>
      <c r="D21" s="71">
        <v>0.13059267438337677</v>
      </c>
      <c r="E21" s="71">
        <v>0</v>
      </c>
      <c r="F21" s="71">
        <v>0</v>
      </c>
      <c r="G21" s="71">
        <v>0</v>
      </c>
      <c r="H21" s="71">
        <v>0</v>
      </c>
      <c r="I21" s="71">
        <v>0</v>
      </c>
      <c r="J21" s="71">
        <v>0</v>
      </c>
      <c r="K21" s="72">
        <v>20.870999999999999</v>
      </c>
      <c r="L21" s="73">
        <v>330.37851564371618</v>
      </c>
      <c r="M21" s="74">
        <v>0</v>
      </c>
      <c r="N21" s="75" t="s">
        <v>32</v>
      </c>
      <c r="O21" s="71">
        <v>0</v>
      </c>
      <c r="P21" s="71">
        <v>0</v>
      </c>
      <c r="Q21" s="73">
        <v>737.90217399999995</v>
      </c>
      <c r="R21" s="76">
        <v>6.821826000000101</v>
      </c>
    </row>
    <row r="22" spans="1:18" ht="15" customHeight="1" x14ac:dyDescent="0.35">
      <c r="A22" s="78" t="s">
        <v>185</v>
      </c>
      <c r="B22" s="408" t="s">
        <v>180</v>
      </c>
      <c r="C22" s="79">
        <v>0.13059267438337677</v>
      </c>
      <c r="D22" s="79">
        <v>0.11014189031855842</v>
      </c>
      <c r="E22" s="79">
        <v>-0.156599779898692</v>
      </c>
      <c r="F22" s="79">
        <v>-0.16899394402672804</v>
      </c>
      <c r="G22" s="79">
        <v>-0.11329772788992486</v>
      </c>
      <c r="H22" s="79">
        <v>-0.17437273705276063</v>
      </c>
      <c r="I22" s="79">
        <v>-0.20498632542835529</v>
      </c>
      <c r="J22" s="79">
        <v>-0.11065856129685914</v>
      </c>
      <c r="K22" s="80">
        <v>152.602</v>
      </c>
      <c r="L22" s="81">
        <v>6767.0148490845468</v>
      </c>
      <c r="M22" s="82">
        <v>0.254</v>
      </c>
      <c r="N22" s="83">
        <v>-107.148031496063</v>
      </c>
      <c r="O22" s="79">
        <v>-0.12469251694154568</v>
      </c>
      <c r="P22" s="79">
        <v>-6.6462926438711989E-2</v>
      </c>
      <c r="Q22" s="81">
        <v>7275.5747840000004</v>
      </c>
      <c r="R22" s="84">
        <v>3271.6837439999981</v>
      </c>
    </row>
    <row r="23" spans="1:18" ht="15" customHeight="1" x14ac:dyDescent="0.35">
      <c r="A23" s="105" t="s">
        <v>187</v>
      </c>
      <c r="B23" s="202" t="s">
        <v>173</v>
      </c>
      <c r="C23" s="106">
        <v>0.13059267438337677</v>
      </c>
      <c r="D23" s="106">
        <v>0.10694053225770106</v>
      </c>
      <c r="E23" s="106">
        <v>-0.18111385066087907</v>
      </c>
      <c r="F23" s="106">
        <v>-0.18980435054793715</v>
      </c>
      <c r="G23" s="106">
        <v>-0.16875773211429948</v>
      </c>
      <c r="H23" s="106">
        <v>-0.19280021284717805</v>
      </c>
      <c r="I23" s="106">
        <v>-0.19614149610922729</v>
      </c>
      <c r="J23" s="106">
        <v>-0.13527862208713276</v>
      </c>
      <c r="K23" s="107">
        <v>273.29300000000001</v>
      </c>
      <c r="L23" s="108">
        <v>4035.632087173839</v>
      </c>
      <c r="M23" s="109">
        <v>1.0129999999999999</v>
      </c>
      <c r="N23" s="110">
        <v>-616.76801579466905</v>
      </c>
      <c r="O23" s="106">
        <v>-9.1467216653076888E-2</v>
      </c>
      <c r="P23" s="106">
        <v>-6.6453162530024076E-2</v>
      </c>
      <c r="Q23" s="108">
        <v>1580.809608</v>
      </c>
      <c r="R23" s="111">
        <v>2085.3514479999976</v>
      </c>
    </row>
    <row r="24" spans="1:18" ht="15" customHeight="1" x14ac:dyDescent="0.35">
      <c r="A24" s="98" t="s">
        <v>188</v>
      </c>
      <c r="B24" s="190" t="s">
        <v>174</v>
      </c>
      <c r="C24" s="99">
        <v>0.13059267438337677</v>
      </c>
      <c r="D24" s="99">
        <v>0.12674032844842048</v>
      </c>
      <c r="E24" s="99">
        <v>-2.9498943590412111E-2</v>
      </c>
      <c r="F24" s="99">
        <v>-2.0784047551581183E-2</v>
      </c>
      <c r="G24" s="99">
        <v>-1.6963881596813654E-2</v>
      </c>
      <c r="H24" s="99">
        <v>-1.8358069105926213E-2</v>
      </c>
      <c r="I24" s="99">
        <v>-4.6969640863957947E-2</v>
      </c>
      <c r="J24" s="99">
        <v>-2.8287740628166174E-2</v>
      </c>
      <c r="K24" s="100">
        <v>65.200999999999993</v>
      </c>
      <c r="L24" s="101">
        <v>2048.2968052637229</v>
      </c>
      <c r="M24" s="102">
        <v>0.997</v>
      </c>
      <c r="N24" s="103">
        <v>-363.16048144433302</v>
      </c>
      <c r="O24" s="99">
        <v>-1.2525438013470993E-2</v>
      </c>
      <c r="P24" s="99">
        <v>-7.8794743111562909E-3</v>
      </c>
      <c r="Q24" s="101">
        <v>1580.809608</v>
      </c>
      <c r="R24" s="104">
        <v>308.59584800000448</v>
      </c>
    </row>
    <row r="25" spans="1:18" ht="15" customHeight="1" x14ac:dyDescent="0.35">
      <c r="A25" s="85" t="s">
        <v>189</v>
      </c>
      <c r="B25" s="177" t="s">
        <v>172</v>
      </c>
      <c r="C25" s="71">
        <v>0.13059267438337677</v>
      </c>
      <c r="D25" s="71">
        <v>0.13059267438337677</v>
      </c>
      <c r="E25" s="71">
        <v>0</v>
      </c>
      <c r="F25" s="71">
        <v>0</v>
      </c>
      <c r="G25" s="71">
        <v>0</v>
      </c>
      <c r="H25" s="71">
        <v>0</v>
      </c>
      <c r="I25" s="71">
        <v>0</v>
      </c>
      <c r="J25" s="71">
        <v>0</v>
      </c>
      <c r="K25" s="86">
        <v>0.47</v>
      </c>
      <c r="L25" s="87">
        <v>2009.2042553191488</v>
      </c>
      <c r="M25" s="88">
        <v>0</v>
      </c>
      <c r="N25" s="89" t="s">
        <v>32</v>
      </c>
      <c r="O25" s="71">
        <v>0</v>
      </c>
      <c r="P25" s="71">
        <v>-9.7639086879170695E-6</v>
      </c>
      <c r="Q25" s="87">
        <v>1580.809608</v>
      </c>
      <c r="R25" s="90">
        <v>5.720976000004157</v>
      </c>
    </row>
    <row r="26" spans="1:18" ht="15" customHeight="1" x14ac:dyDescent="0.35">
      <c r="A26" s="91" t="s">
        <v>190</v>
      </c>
      <c r="B26" s="183" t="s">
        <v>171</v>
      </c>
      <c r="C26" s="92">
        <v>0.13059267438337677</v>
      </c>
      <c r="D26" s="92">
        <v>0.13059267438337677</v>
      </c>
      <c r="E26" s="92">
        <v>0</v>
      </c>
      <c r="F26" s="92">
        <v>0</v>
      </c>
      <c r="G26" s="92">
        <v>0</v>
      </c>
      <c r="H26" s="92">
        <v>0</v>
      </c>
      <c r="I26" s="92">
        <v>0</v>
      </c>
      <c r="J26" s="92">
        <v>0</v>
      </c>
      <c r="K26" s="93">
        <v>0.53300000000000003</v>
      </c>
      <c r="L26" s="94">
        <v>1454.1069418386492</v>
      </c>
      <c r="M26" s="95">
        <v>0</v>
      </c>
      <c r="N26" s="96" t="s">
        <v>32</v>
      </c>
      <c r="O26" s="92">
        <v>0</v>
      </c>
      <c r="P26" s="92">
        <v>0</v>
      </c>
      <c r="Q26" s="94">
        <v>1580.809608</v>
      </c>
      <c r="R26" s="97">
        <v>2.9865040000040608</v>
      </c>
    </row>
    <row r="27" spans="1:18" ht="15" customHeight="1" x14ac:dyDescent="0.35">
      <c r="A27" s="112" t="s">
        <v>191</v>
      </c>
      <c r="B27" s="209" t="s">
        <v>179</v>
      </c>
      <c r="C27" s="113">
        <v>0.13059267438337677</v>
      </c>
      <c r="D27" s="113">
        <v>0.12850074988795496</v>
      </c>
      <c r="E27" s="113">
        <v>-1.601869710762344E-2</v>
      </c>
      <c r="F27" s="113">
        <v>-1.0398613518197593E-2</v>
      </c>
      <c r="G27" s="114">
        <v>-1.2431731088379964E-2</v>
      </c>
      <c r="H27" s="113">
        <v>-2.5078950108158828E-2</v>
      </c>
      <c r="I27" s="114">
        <v>-1.5340912096573716E-2</v>
      </c>
      <c r="J27" s="114">
        <v>-2.0344478216818739E-2</v>
      </c>
      <c r="K27" s="115">
        <v>64.602000000000004</v>
      </c>
      <c r="L27" s="116">
        <v>2169.2672053496794</v>
      </c>
      <c r="M27" s="117">
        <v>0</v>
      </c>
      <c r="N27" s="118" t="s">
        <v>32</v>
      </c>
      <c r="O27" s="114">
        <v>-9.0651829823972501E-3</v>
      </c>
      <c r="P27" s="114">
        <v>-4.491397996445959E-3</v>
      </c>
      <c r="Q27" s="119">
        <v>3689.0941440000001</v>
      </c>
      <c r="R27" s="120">
        <v>140.57633100000021</v>
      </c>
    </row>
    <row r="28" spans="1:18" ht="15" customHeight="1" x14ac:dyDescent="0.35">
      <c r="A28" s="121" t="s">
        <v>168</v>
      </c>
      <c r="B28" s="121"/>
      <c r="C28" s="122">
        <v>0.13059267438337677</v>
      </c>
      <c r="D28" s="123">
        <v>6.4628323480882238E-2</v>
      </c>
      <c r="E28" s="124">
        <v>-0.50511524642527106</v>
      </c>
      <c r="F28" s="124">
        <v>-0.52619093119649962</v>
      </c>
      <c r="G28" s="124">
        <v>-0.46673908451766694</v>
      </c>
      <c r="H28" s="124">
        <v>-0.54156882251552974</v>
      </c>
      <c r="I28" s="124">
        <v>-0.53308082544687019</v>
      </c>
      <c r="J28" s="124">
        <v>-0.40062816616008107</v>
      </c>
      <c r="K28" s="125">
        <v>1574.24</v>
      </c>
      <c r="L28" s="126">
        <v>3612.6384795202766</v>
      </c>
      <c r="M28" s="127">
        <v>0.105</v>
      </c>
      <c r="N28" s="126">
        <v>-480.21047619047619</v>
      </c>
      <c r="O28" s="123">
        <v>-0.28579650959621228</v>
      </c>
      <c r="P28" s="123">
        <v>-0.20811771368314172</v>
      </c>
      <c r="Q28" s="128" t="s">
        <v>148</v>
      </c>
      <c r="R28" s="129">
        <v>8971.1354879999963</v>
      </c>
    </row>
    <row r="29" spans="1:18" ht="15" customHeight="1" x14ac:dyDescent="0.35">
      <c r="N29" s="130"/>
    </row>
    <row r="30" spans="1:18" ht="15" customHeight="1" x14ac:dyDescent="0.35">
      <c r="A30" s="131" t="s">
        <v>151</v>
      </c>
      <c r="B30" s="131" t="s">
        <v>196</v>
      </c>
      <c r="C30" s="67" t="s">
        <v>152</v>
      </c>
      <c r="D30" s="67" t="s">
        <v>153</v>
      </c>
      <c r="E30" s="67" t="s">
        <v>154</v>
      </c>
      <c r="F30" s="67" t="s">
        <v>155</v>
      </c>
      <c r="G30" s="67" t="s">
        <v>156</v>
      </c>
      <c r="H30" s="67" t="s">
        <v>157</v>
      </c>
      <c r="I30" s="67" t="s">
        <v>158</v>
      </c>
      <c r="J30" s="67" t="s">
        <v>159</v>
      </c>
      <c r="K30" s="67" t="s">
        <v>160</v>
      </c>
      <c r="L30" s="68" t="s">
        <v>161</v>
      </c>
      <c r="M30" s="67" t="s">
        <v>162</v>
      </c>
      <c r="N30" s="69" t="s">
        <v>163</v>
      </c>
      <c r="O30" s="67" t="s">
        <v>164</v>
      </c>
      <c r="P30" s="67" t="s">
        <v>165</v>
      </c>
      <c r="Q30" s="67" t="s">
        <v>166</v>
      </c>
      <c r="R30" s="67" t="s">
        <v>167</v>
      </c>
    </row>
    <row r="31" spans="1:18" ht="15" customHeight="1" x14ac:dyDescent="0.35">
      <c r="A31" s="136" t="s">
        <v>181</v>
      </c>
      <c r="B31" s="161" t="s">
        <v>175</v>
      </c>
      <c r="C31" s="99">
        <v>0.13059267438337677</v>
      </c>
      <c r="D31" s="99">
        <v>0.11793671897103855</v>
      </c>
      <c r="E31" s="99">
        <v>-9.6911679557036473E-2</v>
      </c>
      <c r="F31" s="99">
        <v>-0.1165725431792871</v>
      </c>
      <c r="G31" s="99">
        <v>-0.10082978787604475</v>
      </c>
      <c r="H31" s="99">
        <v>-0.10725646928175651</v>
      </c>
      <c r="I31" s="99">
        <v>-9.4542338272401771E-2</v>
      </c>
      <c r="J31" s="99">
        <v>-4.713272543059778E-2</v>
      </c>
      <c r="K31" s="137">
        <v>1361.69</v>
      </c>
      <c r="L31" s="138">
        <v>690.68216701304993</v>
      </c>
      <c r="M31" s="102">
        <v>96.936000000000007</v>
      </c>
      <c r="N31" s="103">
        <v>-164.43839234133901</v>
      </c>
      <c r="O31" s="99">
        <v>-3.5849612519956532E-2</v>
      </c>
      <c r="P31" s="99">
        <v>-3.2504052022105566E-2</v>
      </c>
      <c r="Q31" s="138">
        <v>737.90217399999995</v>
      </c>
      <c r="R31" s="139">
        <v>937.23782600000015</v>
      </c>
    </row>
    <row r="32" spans="1:18" ht="15" customHeight="1" x14ac:dyDescent="0.35">
      <c r="A32" s="70" t="s">
        <v>184</v>
      </c>
      <c r="B32" s="29" t="s">
        <v>178</v>
      </c>
      <c r="C32" s="71">
        <v>0.13059267438337677</v>
      </c>
      <c r="D32" s="71">
        <v>0.13059267438337677</v>
      </c>
      <c r="E32" s="132">
        <v>0</v>
      </c>
      <c r="F32" s="132">
        <v>0</v>
      </c>
      <c r="G32" s="132">
        <v>0</v>
      </c>
      <c r="H32" s="132">
        <v>0</v>
      </c>
      <c r="I32" s="132">
        <v>0</v>
      </c>
      <c r="J32" s="132">
        <v>0</v>
      </c>
      <c r="K32" s="133">
        <v>20.870999999999999</v>
      </c>
      <c r="L32" s="134">
        <v>330.37851564371618</v>
      </c>
      <c r="M32" s="74">
        <v>0</v>
      </c>
      <c r="N32" s="75" t="s">
        <v>32</v>
      </c>
      <c r="O32" s="132">
        <v>0</v>
      </c>
      <c r="P32" s="132">
        <v>0</v>
      </c>
      <c r="Q32" s="134">
        <v>737.90217399999995</v>
      </c>
      <c r="R32" s="135">
        <v>6.821826000000101</v>
      </c>
    </row>
    <row r="33" spans="1:18" ht="15" customHeight="1" x14ac:dyDescent="0.35">
      <c r="A33" s="78" t="s">
        <v>185</v>
      </c>
      <c r="B33" s="408" t="s">
        <v>180</v>
      </c>
      <c r="C33" s="79">
        <v>0.13059267438337677</v>
      </c>
      <c r="D33" s="79">
        <v>0.11014189031855842</v>
      </c>
      <c r="E33" s="79">
        <v>-0.156599779898692</v>
      </c>
      <c r="F33" s="79">
        <v>-0.16899394402672804</v>
      </c>
      <c r="G33" s="79">
        <v>-0.11329772788992486</v>
      </c>
      <c r="H33" s="79">
        <v>-0.17437273705276063</v>
      </c>
      <c r="I33" s="79">
        <v>-0.20498632542835529</v>
      </c>
      <c r="J33" s="79">
        <v>-0.11065856129685914</v>
      </c>
      <c r="K33" s="80">
        <v>152.602</v>
      </c>
      <c r="L33" s="81">
        <v>6767.0148490845468</v>
      </c>
      <c r="M33" s="82">
        <v>0.254</v>
      </c>
      <c r="N33" s="83">
        <v>-107.148031496063</v>
      </c>
      <c r="O33" s="79">
        <v>-0.12469251694154568</v>
      </c>
      <c r="P33" s="79">
        <v>-6.6462926438711989E-2</v>
      </c>
      <c r="Q33" s="81">
        <v>7275.5747840000004</v>
      </c>
      <c r="R33" s="84">
        <v>3271.6837439999981</v>
      </c>
    </row>
    <row r="34" spans="1:18" ht="15" customHeight="1" x14ac:dyDescent="0.35">
      <c r="A34" s="105" t="s">
        <v>187</v>
      </c>
      <c r="B34" s="202" t="s">
        <v>173</v>
      </c>
      <c r="C34" s="106">
        <v>0.13059267438337677</v>
      </c>
      <c r="D34" s="106">
        <v>0.10694053225770106</v>
      </c>
      <c r="E34" s="106">
        <v>-0.18111385066087907</v>
      </c>
      <c r="F34" s="106">
        <v>-0.18980435054793715</v>
      </c>
      <c r="G34" s="106">
        <v>-0.16875773211429948</v>
      </c>
      <c r="H34" s="106">
        <v>-0.19280021284717805</v>
      </c>
      <c r="I34" s="106">
        <v>-0.19614149610922729</v>
      </c>
      <c r="J34" s="106">
        <v>-0.13527862208713276</v>
      </c>
      <c r="K34" s="107">
        <v>273.29300000000001</v>
      </c>
      <c r="L34" s="108">
        <v>4035.632087173839</v>
      </c>
      <c r="M34" s="109">
        <v>1.0129999999999999</v>
      </c>
      <c r="N34" s="110">
        <v>-616.76801579466905</v>
      </c>
      <c r="O34" s="106">
        <v>-9.1467216653076888E-2</v>
      </c>
      <c r="P34" s="106">
        <v>-6.6453162530024076E-2</v>
      </c>
      <c r="Q34" s="108">
        <v>1580.809608</v>
      </c>
      <c r="R34" s="111">
        <v>2085.3514479999976</v>
      </c>
    </row>
    <row r="35" spans="1:18" ht="15" customHeight="1" x14ac:dyDescent="0.35">
      <c r="A35" s="98" t="s">
        <v>188</v>
      </c>
      <c r="B35" s="190" t="s">
        <v>174</v>
      </c>
      <c r="C35" s="99">
        <v>0.13059267438337677</v>
      </c>
      <c r="D35" s="99">
        <v>0.12674032844842048</v>
      </c>
      <c r="E35" s="99">
        <v>-2.9498943590412111E-2</v>
      </c>
      <c r="F35" s="99">
        <v>-2.0784047551581183E-2</v>
      </c>
      <c r="G35" s="99">
        <v>-1.6963881596813654E-2</v>
      </c>
      <c r="H35" s="99">
        <v>-1.8358069105926213E-2</v>
      </c>
      <c r="I35" s="99">
        <v>-4.6969640863957947E-2</v>
      </c>
      <c r="J35" s="99">
        <v>-2.8287740628166174E-2</v>
      </c>
      <c r="K35" s="100">
        <v>65.200999999999993</v>
      </c>
      <c r="L35" s="101">
        <v>2048.2968052637229</v>
      </c>
      <c r="M35" s="102">
        <v>0.997</v>
      </c>
      <c r="N35" s="103">
        <v>-363.16048144433302</v>
      </c>
      <c r="O35" s="99">
        <v>-1.2525438013470993E-2</v>
      </c>
      <c r="P35" s="99">
        <v>-7.8794743111562909E-3</v>
      </c>
      <c r="Q35" s="101">
        <v>1580.809608</v>
      </c>
      <c r="R35" s="104">
        <v>308.59584800000448</v>
      </c>
    </row>
    <row r="36" spans="1:18" ht="15" customHeight="1" x14ac:dyDescent="0.35">
      <c r="A36" s="85" t="s">
        <v>189</v>
      </c>
      <c r="B36" s="177" t="s">
        <v>172</v>
      </c>
      <c r="C36" s="71">
        <v>0.13059267438337677</v>
      </c>
      <c r="D36" s="71">
        <v>0.13059267438337677</v>
      </c>
      <c r="E36" s="71">
        <v>0</v>
      </c>
      <c r="F36" s="71">
        <v>0</v>
      </c>
      <c r="G36" s="71">
        <v>0</v>
      </c>
      <c r="H36" s="71">
        <v>0</v>
      </c>
      <c r="I36" s="71">
        <v>0</v>
      </c>
      <c r="J36" s="71">
        <v>0</v>
      </c>
      <c r="K36" s="140">
        <v>0.47</v>
      </c>
      <c r="L36" s="87">
        <v>2009.2042553191488</v>
      </c>
      <c r="M36" s="88">
        <v>0</v>
      </c>
      <c r="N36" s="89" t="s">
        <v>32</v>
      </c>
      <c r="O36" s="71">
        <v>0</v>
      </c>
      <c r="P36" s="71">
        <v>-9.7639086879170695E-6</v>
      </c>
      <c r="Q36" s="87">
        <v>1580.809608</v>
      </c>
      <c r="R36" s="90">
        <v>5.720976000004157</v>
      </c>
    </row>
    <row r="37" spans="1:18" ht="15" customHeight="1" x14ac:dyDescent="0.35">
      <c r="A37" s="91" t="s">
        <v>190</v>
      </c>
      <c r="B37" s="183" t="s">
        <v>171</v>
      </c>
      <c r="C37" s="92">
        <v>0.13059267438337677</v>
      </c>
      <c r="D37" s="92">
        <v>0.13059267438337677</v>
      </c>
      <c r="E37" s="92">
        <v>0</v>
      </c>
      <c r="F37" s="92">
        <v>0</v>
      </c>
      <c r="G37" s="92">
        <v>0</v>
      </c>
      <c r="H37" s="92">
        <v>0</v>
      </c>
      <c r="I37" s="92">
        <v>0</v>
      </c>
      <c r="J37" s="92">
        <v>0</v>
      </c>
      <c r="K37" s="141">
        <v>0.53300000000000003</v>
      </c>
      <c r="L37" s="94">
        <v>1454.1069418386492</v>
      </c>
      <c r="M37" s="95">
        <v>0</v>
      </c>
      <c r="N37" s="96" t="s">
        <v>32</v>
      </c>
      <c r="O37" s="92">
        <v>0</v>
      </c>
      <c r="P37" s="92">
        <v>0</v>
      </c>
      <c r="Q37" s="94">
        <v>1580.809608</v>
      </c>
      <c r="R37" s="97">
        <v>2.9865040000040608</v>
      </c>
    </row>
    <row r="38" spans="1:18" ht="15" customHeight="1" x14ac:dyDescent="0.35">
      <c r="A38" s="112" t="s">
        <v>191</v>
      </c>
      <c r="B38" s="209" t="s">
        <v>179</v>
      </c>
      <c r="C38" s="113">
        <v>0.13059267438337677</v>
      </c>
      <c r="D38" s="113">
        <v>0.12850074988795496</v>
      </c>
      <c r="E38" s="113">
        <v>-1.601869710762344E-2</v>
      </c>
      <c r="F38" s="113">
        <v>-1.0398613518197593E-2</v>
      </c>
      <c r="G38" s="114">
        <v>-1.2431731088379964E-2</v>
      </c>
      <c r="H38" s="113">
        <v>-2.5078950108158828E-2</v>
      </c>
      <c r="I38" s="114">
        <v>-1.5340912096573716E-2</v>
      </c>
      <c r="J38" s="114">
        <v>-2.0344478216818739E-2</v>
      </c>
      <c r="K38" s="142">
        <v>64.602000000000004</v>
      </c>
      <c r="L38" s="116">
        <v>2169.2672053496794</v>
      </c>
      <c r="M38" s="117">
        <v>0</v>
      </c>
      <c r="N38" s="118" t="s">
        <v>32</v>
      </c>
      <c r="O38" s="114">
        <v>-9.0651829823972501E-3</v>
      </c>
      <c r="P38" s="114">
        <v>-4.491397996445959E-3</v>
      </c>
      <c r="Q38" s="119">
        <v>3689.0941440000001</v>
      </c>
      <c r="R38" s="120">
        <v>140.57633100000021</v>
      </c>
    </row>
    <row r="39" spans="1:18" ht="15" customHeight="1" x14ac:dyDescent="0.35">
      <c r="A39" s="121" t="s">
        <v>168</v>
      </c>
      <c r="B39" s="121"/>
      <c r="C39" s="27">
        <v>0.13059267438337677</v>
      </c>
      <c r="D39" s="123">
        <v>7.6985325231038099E-2</v>
      </c>
      <c r="E39" s="124">
        <v>-0.41049277385165783</v>
      </c>
      <c r="F39" s="123">
        <v>-0.44793774011373899</v>
      </c>
      <c r="G39" s="124">
        <v>-0.35167918892006883</v>
      </c>
      <c r="H39" s="124">
        <v>-0.4498710192372205</v>
      </c>
      <c r="I39" s="124">
        <v>-0.46705671376503016</v>
      </c>
      <c r="J39" s="124">
        <v>-0.31987841945288753</v>
      </c>
      <c r="K39" s="125">
        <v>1396.64</v>
      </c>
      <c r="L39" s="126">
        <v>2438.4880856913737</v>
      </c>
      <c r="M39" s="127">
        <v>95.825000000000003</v>
      </c>
      <c r="N39" s="126">
        <v>-166.6089225150013</v>
      </c>
      <c r="O39" s="123">
        <v>-0.24773370425440064</v>
      </c>
      <c r="P39" s="123">
        <v>-0.16772442344119204</v>
      </c>
      <c r="Q39" s="128" t="s">
        <v>148</v>
      </c>
      <c r="R39" s="129">
        <v>6669.4129680000078</v>
      </c>
    </row>
    <row r="40" spans="1:18" ht="15" customHeight="1" x14ac:dyDescent="0.35">
      <c r="K40" s="143"/>
      <c r="N40" s="130"/>
    </row>
    <row r="41" spans="1:18" ht="15" customHeight="1" x14ac:dyDescent="0.35">
      <c r="A41" s="131" t="s">
        <v>151</v>
      </c>
      <c r="B41" s="131" t="s">
        <v>197</v>
      </c>
      <c r="C41" s="67" t="s">
        <v>152</v>
      </c>
      <c r="D41" s="67" t="s">
        <v>153</v>
      </c>
      <c r="E41" s="67" t="s">
        <v>154</v>
      </c>
      <c r="F41" s="67" t="s">
        <v>155</v>
      </c>
      <c r="G41" s="67" t="s">
        <v>156</v>
      </c>
      <c r="H41" s="67" t="s">
        <v>157</v>
      </c>
      <c r="I41" s="67" t="s">
        <v>158</v>
      </c>
      <c r="J41" s="67" t="s">
        <v>159</v>
      </c>
      <c r="K41" s="144" t="s">
        <v>160</v>
      </c>
      <c r="L41" s="68" t="s">
        <v>161</v>
      </c>
      <c r="M41" s="67" t="s">
        <v>162</v>
      </c>
      <c r="N41" s="69" t="s">
        <v>163</v>
      </c>
      <c r="O41" s="67" t="s">
        <v>164</v>
      </c>
      <c r="P41" s="67" t="s">
        <v>165</v>
      </c>
      <c r="Q41" s="67" t="s">
        <v>166</v>
      </c>
      <c r="R41" s="67" t="s">
        <v>167</v>
      </c>
    </row>
    <row r="42" spans="1:18" ht="15" customHeight="1" x14ac:dyDescent="0.35">
      <c r="A42" s="146" t="s">
        <v>183</v>
      </c>
      <c r="B42" s="170" t="s">
        <v>177</v>
      </c>
      <c r="C42" s="147">
        <v>0.13059267438337677</v>
      </c>
      <c r="D42" s="147">
        <v>9.734447023357945E-2</v>
      </c>
      <c r="E42" s="147">
        <v>-0.25459471066647749</v>
      </c>
      <c r="F42" s="147">
        <v>-0.29258456286943746</v>
      </c>
      <c r="G42" s="147">
        <v>-0.25795238526296738</v>
      </c>
      <c r="H42" s="147">
        <v>-0.2750355709278518</v>
      </c>
      <c r="I42" s="147">
        <v>-0.24539111390891732</v>
      </c>
      <c r="J42" s="147">
        <v>-0.16595744680851074</v>
      </c>
      <c r="K42" s="148">
        <v>1558.14</v>
      </c>
      <c r="L42" s="149">
        <v>2361.7903397640775</v>
      </c>
      <c r="M42" s="150">
        <v>0</v>
      </c>
      <c r="N42" s="151" t="s">
        <v>32</v>
      </c>
      <c r="O42" s="147">
        <v>-9.3687261465092542E-2</v>
      </c>
      <c r="P42" s="147">
        <v>-9.1487824405866197E-2</v>
      </c>
      <c r="Q42" s="149">
        <v>737.90217399999995</v>
      </c>
      <c r="R42" s="152">
        <v>3721.7878259999998</v>
      </c>
    </row>
    <row r="43" spans="1:18" ht="15" customHeight="1" x14ac:dyDescent="0.35">
      <c r="A43" s="70" t="s">
        <v>184</v>
      </c>
      <c r="B43" s="29" t="s">
        <v>178</v>
      </c>
      <c r="C43" s="71">
        <v>0.13059267438337677</v>
      </c>
      <c r="D43" s="71">
        <v>0.13059267438337677</v>
      </c>
      <c r="E43" s="71">
        <v>0</v>
      </c>
      <c r="F43" s="71">
        <v>0</v>
      </c>
      <c r="G43" s="71">
        <v>0</v>
      </c>
      <c r="H43" s="71">
        <v>0</v>
      </c>
      <c r="I43" s="71">
        <v>0</v>
      </c>
      <c r="J43" s="71">
        <v>0</v>
      </c>
      <c r="K43" s="145">
        <v>20.870999999999999</v>
      </c>
      <c r="L43" s="73">
        <v>330.37851564371618</v>
      </c>
      <c r="M43" s="74">
        <v>0</v>
      </c>
      <c r="N43" s="75" t="s">
        <v>32</v>
      </c>
      <c r="O43" s="71">
        <v>0</v>
      </c>
      <c r="P43" s="71">
        <v>0</v>
      </c>
      <c r="Q43" s="73">
        <v>737.90217399999995</v>
      </c>
      <c r="R43" s="76">
        <v>6.821826000000101</v>
      </c>
    </row>
    <row r="44" spans="1:18" ht="15" customHeight="1" x14ac:dyDescent="0.35">
      <c r="A44" s="78" t="s">
        <v>185</v>
      </c>
      <c r="B44" s="408" t="s">
        <v>180</v>
      </c>
      <c r="C44" s="79">
        <v>0.13059267438337677</v>
      </c>
      <c r="D44" s="79">
        <v>0.11014189031855842</v>
      </c>
      <c r="E44" s="79">
        <v>-0.156599779898692</v>
      </c>
      <c r="F44" s="79">
        <v>-0.16899394402672804</v>
      </c>
      <c r="G44" s="79">
        <v>-0.11329772788992486</v>
      </c>
      <c r="H44" s="79">
        <v>-0.17437273705276063</v>
      </c>
      <c r="I44" s="79">
        <v>-0.20498632542835529</v>
      </c>
      <c r="J44" s="79">
        <v>-0.11065856129685914</v>
      </c>
      <c r="K44" s="80">
        <v>152.602</v>
      </c>
      <c r="L44" s="81">
        <v>6767.0148490845468</v>
      </c>
      <c r="M44" s="82">
        <v>0.254</v>
      </c>
      <c r="N44" s="83">
        <v>-107.148031496063</v>
      </c>
      <c r="O44" s="79">
        <v>-0.12469251694154568</v>
      </c>
      <c r="P44" s="79">
        <v>-6.6462926438711989E-2</v>
      </c>
      <c r="Q44" s="81">
        <v>7275.5747840000004</v>
      </c>
      <c r="R44" s="84">
        <v>3271.6837439999981</v>
      </c>
    </row>
    <row r="45" spans="1:18" ht="15" customHeight="1" x14ac:dyDescent="0.35">
      <c r="A45" s="154" t="s">
        <v>186</v>
      </c>
      <c r="B45" s="196" t="s">
        <v>170</v>
      </c>
      <c r="C45" s="155">
        <v>0.13059267438337677</v>
      </c>
      <c r="D45" s="155">
        <v>0.12007070729832521</v>
      </c>
      <c r="E45" s="155">
        <v>-8.057088297435859E-2</v>
      </c>
      <c r="F45" s="155">
        <v>-8.6292676819263128E-2</v>
      </c>
      <c r="G45" s="155">
        <v>-7.2110075133520482E-2</v>
      </c>
      <c r="H45" s="155">
        <v>-7.4554351220979406E-2</v>
      </c>
      <c r="I45" s="155">
        <v>-9.5505112755703919E-2</v>
      </c>
      <c r="J45" s="155">
        <v>-6.35460992907802E-2</v>
      </c>
      <c r="K45" s="156">
        <v>232.065</v>
      </c>
      <c r="L45" s="157">
        <v>2299.1618727511686</v>
      </c>
      <c r="M45" s="158">
        <v>2.0619999999999998</v>
      </c>
      <c r="N45" s="159">
        <v>-573.46265761396705</v>
      </c>
      <c r="O45" s="155">
        <v>-4.4955907443316998E-2</v>
      </c>
      <c r="P45" s="155">
        <v>-2.6714054170165414E-2</v>
      </c>
      <c r="Q45" s="157">
        <v>1580.809608</v>
      </c>
      <c r="R45" s="160">
        <v>1122.7963120000022</v>
      </c>
    </row>
    <row r="46" spans="1:18" ht="15" customHeight="1" x14ac:dyDescent="0.35">
      <c r="A46" s="98" t="s">
        <v>188</v>
      </c>
      <c r="B46" s="190" t="s">
        <v>174</v>
      </c>
      <c r="C46" s="99">
        <v>0.13059267438337677</v>
      </c>
      <c r="D46" s="99">
        <v>0.12674032844842048</v>
      </c>
      <c r="E46" s="99">
        <v>-2.9498943590412111E-2</v>
      </c>
      <c r="F46" s="99">
        <v>-2.0784047551581183E-2</v>
      </c>
      <c r="G46" s="99">
        <v>-1.6963881596813654E-2</v>
      </c>
      <c r="H46" s="99">
        <v>-1.8358069105926213E-2</v>
      </c>
      <c r="I46" s="99">
        <v>-4.6969640863957947E-2</v>
      </c>
      <c r="J46" s="99">
        <v>-2.8287740628166174E-2</v>
      </c>
      <c r="K46" s="100">
        <v>65.200999999999993</v>
      </c>
      <c r="L46" s="101">
        <v>2048.2968052637229</v>
      </c>
      <c r="M46" s="102">
        <v>0.997</v>
      </c>
      <c r="N46" s="103">
        <v>-363.16048144433302</v>
      </c>
      <c r="O46" s="99">
        <v>-1.2525438013470993E-2</v>
      </c>
      <c r="P46" s="99">
        <v>-7.8794743111562909E-3</v>
      </c>
      <c r="Q46" s="101">
        <v>1580.809608</v>
      </c>
      <c r="R46" s="104">
        <v>308.59584800000448</v>
      </c>
    </row>
    <row r="47" spans="1:18" ht="15" customHeight="1" x14ac:dyDescent="0.35">
      <c r="A47" s="85" t="s">
        <v>189</v>
      </c>
      <c r="B47" s="177" t="s">
        <v>172</v>
      </c>
      <c r="C47" s="71">
        <v>0.13059267438337677</v>
      </c>
      <c r="D47" s="71">
        <v>0.13059267438337677</v>
      </c>
      <c r="E47" s="71">
        <v>0</v>
      </c>
      <c r="F47" s="71">
        <v>0</v>
      </c>
      <c r="G47" s="71">
        <v>0</v>
      </c>
      <c r="H47" s="71">
        <v>0</v>
      </c>
      <c r="I47" s="71">
        <v>0</v>
      </c>
      <c r="J47" s="71">
        <v>0</v>
      </c>
      <c r="K47" s="140">
        <v>0.47</v>
      </c>
      <c r="L47" s="87">
        <v>2009.2042553191488</v>
      </c>
      <c r="M47" s="88">
        <v>0</v>
      </c>
      <c r="N47" s="89" t="s">
        <v>32</v>
      </c>
      <c r="O47" s="71">
        <v>0</v>
      </c>
      <c r="P47" s="71">
        <v>-9.7639086879170695E-6</v>
      </c>
      <c r="Q47" s="87">
        <v>1580.809608</v>
      </c>
      <c r="R47" s="90">
        <v>5.720976000004157</v>
      </c>
    </row>
    <row r="48" spans="1:18" ht="15" customHeight="1" x14ac:dyDescent="0.35">
      <c r="A48" s="91" t="s">
        <v>190</v>
      </c>
      <c r="B48" s="183" t="s">
        <v>171</v>
      </c>
      <c r="C48" s="92">
        <v>0.13059267438337677</v>
      </c>
      <c r="D48" s="92">
        <v>0.13059267438337677</v>
      </c>
      <c r="E48" s="92">
        <v>0</v>
      </c>
      <c r="F48" s="92">
        <v>0</v>
      </c>
      <c r="G48" s="92">
        <v>0</v>
      </c>
      <c r="H48" s="92">
        <v>0</v>
      </c>
      <c r="I48" s="92">
        <v>0</v>
      </c>
      <c r="J48" s="92">
        <v>0</v>
      </c>
      <c r="K48" s="141">
        <v>0.53300000000000003</v>
      </c>
      <c r="L48" s="94">
        <v>1454.1069418386492</v>
      </c>
      <c r="M48" s="95">
        <v>0</v>
      </c>
      <c r="N48" s="96" t="s">
        <v>32</v>
      </c>
      <c r="O48" s="92">
        <v>0</v>
      </c>
      <c r="P48" s="92">
        <v>0</v>
      </c>
      <c r="Q48" s="94">
        <v>1580.809608</v>
      </c>
      <c r="R48" s="97">
        <v>2.9865040000040608</v>
      </c>
    </row>
    <row r="49" spans="1:18" ht="15" customHeight="1" x14ac:dyDescent="0.35">
      <c r="A49" s="112" t="s">
        <v>191</v>
      </c>
      <c r="B49" s="209" t="s">
        <v>179</v>
      </c>
      <c r="C49" s="113">
        <v>0.13059267438337677</v>
      </c>
      <c r="D49" s="113">
        <v>0.12850074988795496</v>
      </c>
      <c r="E49" s="113">
        <v>-1.601869710762344E-2</v>
      </c>
      <c r="F49" s="113">
        <v>-1.0398613518197593E-2</v>
      </c>
      <c r="G49" s="114">
        <v>-1.2431731088379964E-2</v>
      </c>
      <c r="H49" s="113">
        <v>-2.5078950108158828E-2</v>
      </c>
      <c r="I49" s="114">
        <v>-1.5340912096573716E-2</v>
      </c>
      <c r="J49" s="114">
        <v>-2.0344478216818739E-2</v>
      </c>
      <c r="K49" s="142">
        <v>64.602000000000004</v>
      </c>
      <c r="L49" s="116">
        <v>2169.2672053496794</v>
      </c>
      <c r="M49" s="117">
        <v>0</v>
      </c>
      <c r="N49" s="118" t="s">
        <v>32</v>
      </c>
      <c r="O49" s="114">
        <v>-9.0651829823972501E-3</v>
      </c>
      <c r="P49" s="114">
        <v>-4.491397996445959E-3</v>
      </c>
      <c r="Q49" s="119">
        <v>3689.0941440000001</v>
      </c>
      <c r="R49" s="120">
        <v>140.57633100000021</v>
      </c>
    </row>
    <row r="50" spans="1:18" ht="15" customHeight="1" x14ac:dyDescent="0.35">
      <c r="A50" s="121" t="s">
        <v>168</v>
      </c>
      <c r="B50" s="121"/>
      <c r="C50" s="27">
        <v>0.13059267438337677</v>
      </c>
      <c r="D50" s="123">
        <v>6.961739439599593E-2</v>
      </c>
      <c r="E50" s="123">
        <v>-0.46691194797326568</v>
      </c>
      <c r="F50" s="123">
        <v>-0.5131037027762585</v>
      </c>
      <c r="G50" s="123">
        <v>-0.42325216499200397</v>
      </c>
      <c r="H50" s="123">
        <v>-0.4926024037849781</v>
      </c>
      <c r="I50" s="123">
        <v>-0.5069695350645641</v>
      </c>
      <c r="J50" s="123">
        <v>-0.37791286727456941</v>
      </c>
      <c r="K50" s="153">
        <v>1591.36</v>
      </c>
      <c r="L50" s="126">
        <v>3495.1425196058717</v>
      </c>
      <c r="M50" s="127">
        <v>0.105</v>
      </c>
      <c r="N50" s="126">
        <v>-559.21047619047613</v>
      </c>
      <c r="O50" s="123">
        <v>-0.25532570935228144</v>
      </c>
      <c r="P50" s="123">
        <v>-0.19114804038352642</v>
      </c>
      <c r="Q50" s="128" t="s">
        <v>148</v>
      </c>
      <c r="R50" s="129">
        <v>8462.4094949999999</v>
      </c>
    </row>
    <row r="53" spans="1:18" x14ac:dyDescent="0.35">
      <c r="B53" s="232" t="s">
        <v>169</v>
      </c>
    </row>
    <row r="54" spans="1:18" ht="26" x14ac:dyDescent="0.35">
      <c r="B54" s="233" t="s">
        <v>118</v>
      </c>
    </row>
    <row r="55" spans="1:18" ht="15" customHeight="1" x14ac:dyDescent="0.35">
      <c r="B55" s="233" t="s">
        <v>119</v>
      </c>
    </row>
    <row r="56" spans="1:18" ht="275.5" x14ac:dyDescent="0.35">
      <c r="B56" s="426" t="s">
        <v>208</v>
      </c>
      <c r="C56" s="426"/>
      <c r="D56" s="426"/>
      <c r="E56" s="426"/>
      <c r="F56" s="426"/>
      <c r="G56" s="426"/>
      <c r="H56" s="426"/>
      <c r="I56" s="426"/>
      <c r="J56" s="426"/>
    </row>
  </sheetData>
  <phoneticPr fontId="21" type="noConversion"/>
  <pageMargins left="0.25" right="0.25" top="0.75" bottom="0.75" header="0.3" footer="0.3"/>
  <pageSetup paperSize="17" scale="57"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3CF0-BE69-42B1-A6B0-06FDA7069CFB}">
  <dimension ref="A1:S28"/>
  <sheetViews>
    <sheetView zoomScaleNormal="100" workbookViewId="0">
      <selection activeCell="M28" sqref="M28"/>
    </sheetView>
  </sheetViews>
  <sheetFormatPr defaultColWidth="9.1796875" defaultRowHeight="13" x14ac:dyDescent="0.3"/>
  <cols>
    <col min="1" max="1" width="41.26953125" style="1" customWidth="1"/>
    <col min="2" max="9" width="13.54296875" style="13" customWidth="1"/>
    <col min="10" max="19" width="13.54296875" style="1" customWidth="1"/>
    <col min="20" max="16384" width="9.1796875" style="1"/>
  </cols>
  <sheetData>
    <row r="1" spans="1:19" s="20" customFormat="1" x14ac:dyDescent="0.3">
      <c r="A1" s="18" t="s">
        <v>69</v>
      </c>
      <c r="B1" s="19"/>
      <c r="C1" s="15"/>
      <c r="D1" s="15"/>
      <c r="E1" s="15"/>
      <c r="F1" s="15"/>
      <c r="G1" s="15"/>
      <c r="H1" s="15"/>
      <c r="I1" s="15"/>
    </row>
    <row r="2" spans="1:19" s="20" customFormat="1" x14ac:dyDescent="0.3">
      <c r="A2" s="449" t="s">
        <v>200</v>
      </c>
      <c r="B2" s="450"/>
      <c r="C2" s="450"/>
      <c r="D2" s="450"/>
      <c r="E2" s="450"/>
      <c r="F2" s="450"/>
      <c r="G2" s="450"/>
      <c r="H2" s="450"/>
      <c r="I2" s="450"/>
    </row>
    <row r="3" spans="1:19" s="20" customFormat="1" x14ac:dyDescent="0.3">
      <c r="A3" s="24" t="s">
        <v>118</v>
      </c>
      <c r="B3" s="19"/>
      <c r="C3" s="15"/>
      <c r="D3" s="15"/>
      <c r="E3" s="15"/>
      <c r="F3" s="15"/>
      <c r="G3" s="15"/>
      <c r="H3" s="15"/>
      <c r="I3" s="15"/>
    </row>
    <row r="4" spans="1:19" s="20" customFormat="1" x14ac:dyDescent="0.3">
      <c r="A4" s="23" t="s">
        <v>119</v>
      </c>
      <c r="B4" s="19"/>
      <c r="C4" s="15"/>
      <c r="D4" s="15"/>
      <c r="E4" s="15"/>
      <c r="F4" s="15"/>
      <c r="G4" s="15"/>
      <c r="H4" s="15"/>
      <c r="I4" s="15"/>
    </row>
    <row r="5" spans="1:19" s="20" customFormat="1" x14ac:dyDescent="0.3">
      <c r="A5" s="20" t="s">
        <v>100</v>
      </c>
      <c r="B5" s="15"/>
      <c r="C5" s="15"/>
      <c r="D5" s="15"/>
      <c r="E5" s="451"/>
      <c r="F5" s="451"/>
      <c r="G5" s="451"/>
      <c r="H5" s="15"/>
      <c r="I5" s="15"/>
    </row>
    <row r="6" spans="1:19" s="20" customFormat="1" ht="15" customHeight="1" x14ac:dyDescent="0.3">
      <c r="B6" s="456" t="s">
        <v>129</v>
      </c>
      <c r="C6" s="456"/>
      <c r="D6" s="456"/>
      <c r="E6" s="452" t="s">
        <v>195</v>
      </c>
      <c r="F6" s="453"/>
      <c r="G6" s="453"/>
      <c r="H6" s="453"/>
      <c r="I6" s="453"/>
      <c r="J6" s="446" t="s">
        <v>196</v>
      </c>
      <c r="K6" s="446"/>
      <c r="L6" s="446"/>
      <c r="M6" s="446"/>
      <c r="N6" s="447"/>
      <c r="O6" s="444" t="s">
        <v>197</v>
      </c>
      <c r="P6" s="445"/>
      <c r="Q6" s="445"/>
      <c r="R6" s="445"/>
      <c r="S6" s="445"/>
    </row>
    <row r="7" spans="1:19" s="20" customFormat="1" ht="65.5" thickBot="1" x14ac:dyDescent="0.35">
      <c r="A7" s="21"/>
      <c r="B7" s="234" t="s">
        <v>63</v>
      </c>
      <c r="C7" s="235" t="s">
        <v>62</v>
      </c>
      <c r="D7" s="235" t="s">
        <v>66</v>
      </c>
      <c r="E7" s="236" t="s">
        <v>61</v>
      </c>
      <c r="F7" s="237" t="s">
        <v>67</v>
      </c>
      <c r="G7" s="237" t="s">
        <v>64</v>
      </c>
      <c r="H7" s="237" t="s">
        <v>65</v>
      </c>
      <c r="I7" s="237" t="s">
        <v>68</v>
      </c>
      <c r="J7" s="238" t="s">
        <v>61</v>
      </c>
      <c r="K7" s="239" t="s">
        <v>67</v>
      </c>
      <c r="L7" s="239" t="s">
        <v>64</v>
      </c>
      <c r="M7" s="239" t="s">
        <v>65</v>
      </c>
      <c r="N7" s="239" t="s">
        <v>68</v>
      </c>
      <c r="O7" s="240" t="s">
        <v>61</v>
      </c>
      <c r="P7" s="241" t="s">
        <v>67</v>
      </c>
      <c r="Q7" s="241" t="s">
        <v>64</v>
      </c>
      <c r="R7" s="241" t="s">
        <v>65</v>
      </c>
      <c r="S7" s="307" t="s">
        <v>68</v>
      </c>
    </row>
    <row r="8" spans="1:19" ht="14.5" x14ac:dyDescent="0.3">
      <c r="A8" s="1" t="s">
        <v>56</v>
      </c>
      <c r="B8" s="244">
        <f>'[1]ATTIS Summary Tables'!$J$615/1000</f>
        <v>18879.900000000001</v>
      </c>
      <c r="C8" s="244">
        <f>'[2]SPM tables'!$E$615/1000</f>
        <v>2483.61</v>
      </c>
      <c r="D8" s="245">
        <f>C8/$B8</f>
        <v>0.13154783658811753</v>
      </c>
      <c r="E8" s="246">
        <v>1853.36</v>
      </c>
      <c r="F8" s="247">
        <f>E8/$B8</f>
        <v>9.8165774183125956E-2</v>
      </c>
      <c r="G8" s="248">
        <f>E8-C8</f>
        <v>-630.25000000000023</v>
      </c>
      <c r="H8" s="249">
        <f>ROUND((F8-D8)*100,2)</f>
        <v>-3.34</v>
      </c>
      <c r="I8" s="247">
        <f>(E8-C8)/C8</f>
        <v>-0.25376367465101213</v>
      </c>
      <c r="J8" s="250">
        <v>1950.28</v>
      </c>
      <c r="K8" s="251">
        <f>J8/$B8</f>
        <v>0.10329927594955481</v>
      </c>
      <c r="L8" s="252">
        <f>J8-C8</f>
        <v>-533.33000000000015</v>
      </c>
      <c r="M8" s="253">
        <f>ROUND((K8-D8)*100,2)</f>
        <v>-2.82</v>
      </c>
      <c r="N8" s="251">
        <f>(J8-C8)/C8</f>
        <v>-0.21473983435402505</v>
      </c>
      <c r="O8" s="254">
        <v>1915.21</v>
      </c>
      <c r="P8" s="255">
        <f>O8/$B8</f>
        <v>0.10144174492449641</v>
      </c>
      <c r="Q8" s="256">
        <f>O8-C8</f>
        <v>-568.40000000000009</v>
      </c>
      <c r="R8" s="257">
        <f>ROUND((P8-D8)*100,2)</f>
        <v>-3.01</v>
      </c>
      <c r="S8" s="409">
        <f>(O8-C8)/C8</f>
        <v>-0.22886040884035741</v>
      </c>
    </row>
    <row r="9" spans="1:19" x14ac:dyDescent="0.3">
      <c r="A9" s="8" t="s">
        <v>12</v>
      </c>
      <c r="B9" s="258"/>
      <c r="C9" s="258"/>
      <c r="D9" s="259"/>
      <c r="E9" s="260"/>
      <c r="F9" s="261"/>
      <c r="G9" s="261"/>
      <c r="H9" s="262"/>
      <c r="I9" s="263"/>
      <c r="J9" s="264"/>
      <c r="K9" s="265"/>
      <c r="L9" s="266"/>
      <c r="M9" s="267"/>
      <c r="N9" s="268"/>
      <c r="O9" s="269"/>
      <c r="P9" s="270"/>
      <c r="Q9" s="271"/>
      <c r="R9" s="272"/>
      <c r="S9" s="387"/>
    </row>
    <row r="10" spans="1:19" x14ac:dyDescent="0.3">
      <c r="A10" s="4" t="s">
        <v>47</v>
      </c>
      <c r="B10" s="274">
        <f>'[1]ATTIS Summary Tables'!$J$839/1000</f>
        <v>3993.93</v>
      </c>
      <c r="C10" s="274">
        <f>'[2]SPM tables'!$E$839/1000</f>
        <v>521.57799999999997</v>
      </c>
      <c r="D10" s="275">
        <f t="shared" ref="D10:D13" si="0">C10/$B10</f>
        <v>0.13059267438337677</v>
      </c>
      <c r="E10" s="276">
        <v>258.12099999999998</v>
      </c>
      <c r="F10" s="263">
        <f t="shared" ref="F10:F13" si="1">E10/$B10</f>
        <v>6.4628323480882238E-2</v>
      </c>
      <c r="G10" s="277">
        <f>E10-C10</f>
        <v>-263.45699999999999</v>
      </c>
      <c r="H10" s="278">
        <f t="shared" ref="H10:H13" si="2">ROUND((F10-D10)*100,2)</f>
        <v>-6.6</v>
      </c>
      <c r="I10" s="263">
        <f t="shared" ref="I10:I13" si="3">(E10-C10)/C10</f>
        <v>-0.50511524642527106</v>
      </c>
      <c r="J10" s="163">
        <v>307.47399999999999</v>
      </c>
      <c r="K10" s="268">
        <f t="shared" ref="K10:K13" si="4">J10/$B10</f>
        <v>7.6985325231038099E-2</v>
      </c>
      <c r="L10" s="266">
        <f t="shared" ref="L10:L22" si="5">J10-C10</f>
        <v>-214.10399999999998</v>
      </c>
      <c r="M10" s="267">
        <f t="shared" ref="M10:M22" si="6">ROUND((K10-D10)*100,2)</f>
        <v>-5.36</v>
      </c>
      <c r="N10" s="268">
        <f t="shared" ref="N10:N22" si="7">(J10-C10)/C10</f>
        <v>-0.41049277385165783</v>
      </c>
      <c r="O10" s="279">
        <v>278.04700000000003</v>
      </c>
      <c r="P10" s="273">
        <f t="shared" ref="P10:P13" si="8">O10/$B10</f>
        <v>6.961739439599593E-2</v>
      </c>
      <c r="Q10" s="271">
        <f>O10-C10</f>
        <v>-243.53099999999995</v>
      </c>
      <c r="R10" s="272">
        <f>ROUND((P10-D10)*100,2)</f>
        <v>-6.1</v>
      </c>
      <c r="S10" s="387">
        <f>(O10-C10)/C10</f>
        <v>-0.46691194797326568</v>
      </c>
    </row>
    <row r="11" spans="1:19" x14ac:dyDescent="0.3">
      <c r="A11" s="9" t="s">
        <v>48</v>
      </c>
      <c r="B11" s="274">
        <f>SUM('[1]ATTIS Summary Tables'!$J$857:$J$858)/1000</f>
        <v>1108.269</v>
      </c>
      <c r="C11" s="274">
        <f>SUM('[2]SPM tables'!$E$857:$E$858)/1000</f>
        <v>151.751</v>
      </c>
      <c r="D11" s="275">
        <f t="shared" si="0"/>
        <v>0.13692614338215722</v>
      </c>
      <c r="E11" s="276">
        <v>71.900999999999996</v>
      </c>
      <c r="F11" s="263">
        <f t="shared" si="1"/>
        <v>6.4876848490754493E-2</v>
      </c>
      <c r="G11" s="277">
        <f t="shared" ref="G11:G22" si="9">E11-C11</f>
        <v>-79.850000000000009</v>
      </c>
      <c r="H11" s="278">
        <f t="shared" si="2"/>
        <v>-7.2</v>
      </c>
      <c r="I11" s="263">
        <f t="shared" si="3"/>
        <v>-0.52619093119649962</v>
      </c>
      <c r="J11" s="163">
        <v>83.775999999999996</v>
      </c>
      <c r="K11" s="268">
        <f t="shared" si="4"/>
        <v>7.5591756153063919E-2</v>
      </c>
      <c r="L11" s="266">
        <f t="shared" si="5"/>
        <v>-67.975000000000009</v>
      </c>
      <c r="M11" s="267">
        <f t="shared" si="6"/>
        <v>-6.13</v>
      </c>
      <c r="N11" s="268">
        <f t="shared" si="7"/>
        <v>-0.44793774011373899</v>
      </c>
      <c r="O11" s="279">
        <v>73.887</v>
      </c>
      <c r="P11" s="273">
        <f t="shared" si="8"/>
        <v>6.6668832205899475E-2</v>
      </c>
      <c r="Q11" s="271">
        <f>O11-C11</f>
        <v>-77.864000000000004</v>
      </c>
      <c r="R11" s="272">
        <f>ROUND((P11-D11)*100,2)</f>
        <v>-7.03</v>
      </c>
      <c r="S11" s="387">
        <f>(O11-C11)/C11</f>
        <v>-0.5131037027762585</v>
      </c>
    </row>
    <row r="12" spans="1:19" x14ac:dyDescent="0.3">
      <c r="A12" s="9" t="s">
        <v>49</v>
      </c>
      <c r="B12" s="274">
        <f>SUM('[1]ATTIS Summary Tables'!$J$859:$J$860)/1000</f>
        <v>2885.67</v>
      </c>
      <c r="C12" s="274">
        <f>SUM('[2]SPM tables'!$E$859:$E$860)/1000</f>
        <v>369.827</v>
      </c>
      <c r="D12" s="275">
        <f t="shared" si="0"/>
        <v>0.12815983809652523</v>
      </c>
      <c r="E12" s="276">
        <v>186.22</v>
      </c>
      <c r="F12" s="263">
        <f t="shared" si="1"/>
        <v>6.453267352122731E-2</v>
      </c>
      <c r="G12" s="277">
        <f t="shared" si="9"/>
        <v>-183.607</v>
      </c>
      <c r="H12" s="278">
        <f t="shared" si="2"/>
        <v>-6.36</v>
      </c>
      <c r="I12" s="263">
        <f t="shared" si="3"/>
        <v>-0.49646726712760292</v>
      </c>
      <c r="J12" s="163">
        <v>223.69800000000001</v>
      </c>
      <c r="K12" s="268">
        <f t="shared" si="4"/>
        <v>7.7520298578839575E-2</v>
      </c>
      <c r="L12" s="266">
        <f t="shared" si="5"/>
        <v>-146.12899999999999</v>
      </c>
      <c r="M12" s="267">
        <f t="shared" si="6"/>
        <v>-5.0599999999999996</v>
      </c>
      <c r="N12" s="268">
        <f t="shared" si="7"/>
        <v>-0.39512799227747025</v>
      </c>
      <c r="O12" s="279">
        <v>204.16</v>
      </c>
      <c r="P12" s="273">
        <f t="shared" si="8"/>
        <v>7.0749600612682664E-2</v>
      </c>
      <c r="Q12" s="271">
        <f>O12-C12</f>
        <v>-165.667</v>
      </c>
      <c r="R12" s="272">
        <f>ROUND((P12-D12)*100,2)</f>
        <v>-5.74</v>
      </c>
      <c r="S12" s="387">
        <f>(O12-C12)/C12</f>
        <v>-0.4479580993275234</v>
      </c>
    </row>
    <row r="13" spans="1:19" x14ac:dyDescent="0.3">
      <c r="A13" s="4" t="s">
        <v>50</v>
      </c>
      <c r="B13" s="274">
        <f>SUM('[1]ATTIS Summary Tables'!$J$634:$J$637)/1000</f>
        <v>14885.93</v>
      </c>
      <c r="C13" s="274">
        <f>SUM('[2]SPM tables'!$E$634:$E$637)/1000</f>
        <v>1962.029</v>
      </c>
      <c r="D13" s="275">
        <f t="shared" si="0"/>
        <v>0.13180426080197877</v>
      </c>
      <c r="E13" s="276">
        <v>1595.2429999999999</v>
      </c>
      <c r="F13" s="263">
        <f t="shared" si="1"/>
        <v>0.1071644835089242</v>
      </c>
      <c r="G13" s="277">
        <f t="shared" si="9"/>
        <v>-366.78600000000006</v>
      </c>
      <c r="H13" s="278">
        <f t="shared" si="2"/>
        <v>-2.46</v>
      </c>
      <c r="I13" s="263">
        <f t="shared" si="3"/>
        <v>-0.18694219096659634</v>
      </c>
      <c r="J13" s="163">
        <v>1642.8050000000001</v>
      </c>
      <c r="K13" s="268">
        <f t="shared" si="4"/>
        <v>0.11035958116153979</v>
      </c>
      <c r="L13" s="266">
        <f t="shared" si="5"/>
        <v>-319.22399999999993</v>
      </c>
      <c r="M13" s="267">
        <f t="shared" si="6"/>
        <v>-2.14</v>
      </c>
      <c r="N13" s="268">
        <f t="shared" si="7"/>
        <v>-0.16270095905819942</v>
      </c>
      <c r="O13" s="279">
        <v>1637.164</v>
      </c>
      <c r="P13" s="273">
        <f t="shared" si="8"/>
        <v>0.10998063271827827</v>
      </c>
      <c r="Q13" s="271">
        <f>O13-C13</f>
        <v>-324.86500000000001</v>
      </c>
      <c r="R13" s="272">
        <f>ROUND((P13-D13)*100,2)</f>
        <v>-2.1800000000000002</v>
      </c>
      <c r="S13" s="387">
        <f>(O13-C13)/C13</f>
        <v>-0.16557604398304002</v>
      </c>
    </row>
    <row r="14" spans="1:19" ht="14.5" x14ac:dyDescent="0.3">
      <c r="A14" s="8" t="s">
        <v>51</v>
      </c>
      <c r="B14" s="258"/>
      <c r="C14" s="258"/>
      <c r="D14" s="259"/>
      <c r="E14" s="260"/>
      <c r="F14" s="263"/>
      <c r="G14" s="261"/>
      <c r="H14" s="262"/>
      <c r="I14" s="263"/>
      <c r="J14" s="264"/>
      <c r="K14" s="268"/>
      <c r="L14" s="266"/>
      <c r="M14" s="267"/>
      <c r="N14" s="268"/>
      <c r="O14" s="269"/>
      <c r="P14" s="273"/>
      <c r="Q14" s="271"/>
      <c r="R14" s="272"/>
      <c r="S14" s="387"/>
    </row>
    <row r="15" spans="1:19" x14ac:dyDescent="0.3">
      <c r="A15" s="4" t="s">
        <v>16</v>
      </c>
      <c r="B15" s="274">
        <f>'[1]ATTIS Summary Tables'!$J$619/1000</f>
        <v>1627.8</v>
      </c>
      <c r="C15" s="274">
        <f>'[2]SPM tables'!$E$619/1000</f>
        <v>328.16</v>
      </c>
      <c r="D15" s="275">
        <f t="shared" ref="D15:D19" si="10">C15/$B15</f>
        <v>0.20159724781914243</v>
      </c>
      <c r="E15" s="276">
        <v>271.52100000000002</v>
      </c>
      <c r="F15" s="263">
        <f t="shared" ref="F15:F19" si="11">E15/$B15</f>
        <v>0.16680243273129378</v>
      </c>
      <c r="G15" s="277">
        <f t="shared" si="9"/>
        <v>-56.63900000000001</v>
      </c>
      <c r="H15" s="278">
        <f t="shared" ref="H15:H19" si="12">ROUND((F15-D15)*100,2)</f>
        <v>-3.48</v>
      </c>
      <c r="I15" s="263">
        <f t="shared" ref="I15:I19" si="13">(E15-C15)/C15</f>
        <v>-0.17259568503169187</v>
      </c>
      <c r="J15" s="163">
        <v>280.78100000000001</v>
      </c>
      <c r="K15" s="268">
        <f t="shared" ref="K15:K19" si="14">J15/$B15</f>
        <v>0.17249109227177786</v>
      </c>
      <c r="L15" s="266">
        <f t="shared" si="5"/>
        <v>-47.379000000000019</v>
      </c>
      <c r="M15" s="267">
        <f t="shared" si="6"/>
        <v>-2.91</v>
      </c>
      <c r="N15" s="268">
        <f t="shared" si="7"/>
        <v>-0.14437774256460267</v>
      </c>
      <c r="O15" s="279">
        <v>274.70499999999998</v>
      </c>
      <c r="P15" s="273">
        <f t="shared" ref="P15:P19" si="15">O15/$B15</f>
        <v>0.16875844698365891</v>
      </c>
      <c r="Q15" s="271">
        <f>O15-C15</f>
        <v>-53.455000000000041</v>
      </c>
      <c r="R15" s="272">
        <f>ROUND((P15-D15)*100,2)</f>
        <v>-3.28</v>
      </c>
      <c r="S15" s="387">
        <f>(O15-C15)/C15</f>
        <v>-0.16289310092637749</v>
      </c>
    </row>
    <row r="16" spans="1:19" x14ac:dyDescent="0.3">
      <c r="A16" s="4" t="s">
        <v>15</v>
      </c>
      <c r="B16" s="274">
        <f>'[1]ATTIS Summary Tables'!$J$618/1000</f>
        <v>2625.71</v>
      </c>
      <c r="C16" s="274">
        <f>'[2]SPM tables'!$E$618/1000</f>
        <v>437.81700000000001</v>
      </c>
      <c r="D16" s="275">
        <f t="shared" si="10"/>
        <v>0.16674232874155942</v>
      </c>
      <c r="E16" s="276">
        <v>311.92700000000002</v>
      </c>
      <c r="F16" s="263">
        <f t="shared" si="11"/>
        <v>0.11879720151882729</v>
      </c>
      <c r="G16" s="277">
        <f t="shared" si="9"/>
        <v>-125.88999999999999</v>
      </c>
      <c r="H16" s="278">
        <f t="shared" si="12"/>
        <v>-4.79</v>
      </c>
      <c r="I16" s="263">
        <f t="shared" si="13"/>
        <v>-0.28754022799480145</v>
      </c>
      <c r="J16" s="163">
        <v>330.46800000000002</v>
      </c>
      <c r="K16" s="268">
        <f t="shared" si="14"/>
        <v>0.12585852969292116</v>
      </c>
      <c r="L16" s="266">
        <f t="shared" si="5"/>
        <v>-107.34899999999999</v>
      </c>
      <c r="M16" s="267">
        <f t="shared" si="6"/>
        <v>-4.09</v>
      </c>
      <c r="N16" s="268">
        <f t="shared" si="7"/>
        <v>-0.24519148411322536</v>
      </c>
      <c r="O16" s="279">
        <v>327.19900000000001</v>
      </c>
      <c r="P16" s="273">
        <f t="shared" si="15"/>
        <v>0.12461353310152302</v>
      </c>
      <c r="Q16" s="271">
        <f>O16-C16</f>
        <v>-110.61799999999999</v>
      </c>
      <c r="R16" s="272">
        <f>ROUND((P16-D16)*100,2)</f>
        <v>-4.21</v>
      </c>
      <c r="S16" s="387">
        <f>(O16-C16)/C16</f>
        <v>-0.25265807403549884</v>
      </c>
    </row>
    <row r="17" spans="1:19" x14ac:dyDescent="0.3">
      <c r="A17" s="4" t="s">
        <v>17</v>
      </c>
      <c r="B17" s="274">
        <f>'[1]ATTIS Summary Tables'!$J$620/1000</f>
        <v>3645.79</v>
      </c>
      <c r="C17" s="274">
        <f>'[2]SPM tables'!$E$620/1000</f>
        <v>694.21</v>
      </c>
      <c r="D17" s="275">
        <f t="shared" si="10"/>
        <v>0.19041414892245578</v>
      </c>
      <c r="E17" s="276">
        <v>458.755</v>
      </c>
      <c r="F17" s="263">
        <f t="shared" si="11"/>
        <v>0.12583143845366848</v>
      </c>
      <c r="G17" s="277">
        <f t="shared" si="9"/>
        <v>-235.45500000000004</v>
      </c>
      <c r="H17" s="278">
        <f t="shared" si="12"/>
        <v>-6.46</v>
      </c>
      <c r="I17" s="263">
        <f t="shared" si="13"/>
        <v>-0.33916970369196647</v>
      </c>
      <c r="J17" s="163">
        <v>485.28399999999999</v>
      </c>
      <c r="K17" s="268">
        <f t="shared" si="14"/>
        <v>0.13310805065568779</v>
      </c>
      <c r="L17" s="266">
        <f t="shared" si="5"/>
        <v>-208.92600000000004</v>
      </c>
      <c r="M17" s="267">
        <f t="shared" si="6"/>
        <v>-5.73</v>
      </c>
      <c r="N17" s="268">
        <f t="shared" si="7"/>
        <v>-0.30095504242232185</v>
      </c>
      <c r="O17" s="279">
        <v>477.87700000000001</v>
      </c>
      <c r="P17" s="273">
        <f t="shared" si="15"/>
        <v>0.13107639222226183</v>
      </c>
      <c r="Q17" s="271">
        <f>O17-C17</f>
        <v>-216.33300000000003</v>
      </c>
      <c r="R17" s="272">
        <f>ROUND((P17-D17)*100,2)</f>
        <v>-5.93</v>
      </c>
      <c r="S17" s="387">
        <f>(O17-C17)/C17</f>
        <v>-0.31162472450699358</v>
      </c>
    </row>
    <row r="18" spans="1:19" x14ac:dyDescent="0.3">
      <c r="A18" s="4" t="s">
        <v>18</v>
      </c>
      <c r="B18" s="274">
        <f>'[1]ATTIS Summary Tables'!$J$617/1000</f>
        <v>10430.799999999999</v>
      </c>
      <c r="C18" s="274">
        <f>'[2]SPM tables'!$E$617/1000</f>
        <v>931.37599999999998</v>
      </c>
      <c r="D18" s="275">
        <f t="shared" si="10"/>
        <v>8.9290946044406946E-2</v>
      </c>
      <c r="E18" s="276">
        <v>752.43799999999999</v>
      </c>
      <c r="F18" s="263">
        <f t="shared" si="11"/>
        <v>7.2136173639605783E-2</v>
      </c>
      <c r="G18" s="277">
        <f t="shared" si="9"/>
        <v>-178.93799999999999</v>
      </c>
      <c r="H18" s="278">
        <f t="shared" si="12"/>
        <v>-1.72</v>
      </c>
      <c r="I18" s="263">
        <f t="shared" si="13"/>
        <v>-0.19212219339987288</v>
      </c>
      <c r="J18" s="163">
        <v>785.65800000000002</v>
      </c>
      <c r="K18" s="268">
        <f t="shared" si="14"/>
        <v>7.5320972504505895E-2</v>
      </c>
      <c r="L18" s="266">
        <f t="shared" si="5"/>
        <v>-145.71799999999996</v>
      </c>
      <c r="M18" s="267">
        <f t="shared" si="6"/>
        <v>-1.4</v>
      </c>
      <c r="N18" s="268">
        <f t="shared" si="7"/>
        <v>-0.1564545360842452</v>
      </c>
      <c r="O18" s="279">
        <v>771.48500000000001</v>
      </c>
      <c r="P18" s="273">
        <f t="shared" si="15"/>
        <v>7.3962208076082378E-2</v>
      </c>
      <c r="Q18" s="271">
        <f>O18-C18</f>
        <v>-159.89099999999996</v>
      </c>
      <c r="R18" s="272">
        <f>ROUND((P18-D18)*100,2)</f>
        <v>-1.53</v>
      </c>
      <c r="S18" s="387">
        <f>(O18-C18)/C18</f>
        <v>-0.17167180601604504</v>
      </c>
    </row>
    <row r="19" spans="1:19" x14ac:dyDescent="0.3">
      <c r="A19" s="4" t="s">
        <v>52</v>
      </c>
      <c r="B19" s="274">
        <f>'[1]ATTIS Summary Tables'!$J$621/1000</f>
        <v>549.71500000000003</v>
      </c>
      <c r="C19" s="274">
        <f>'[2]SPM tables'!$E$621/1000</f>
        <v>92.043999999999997</v>
      </c>
      <c r="D19" s="275">
        <f t="shared" si="10"/>
        <v>0.16743949137280226</v>
      </c>
      <c r="E19" s="276">
        <v>58.722999999999999</v>
      </c>
      <c r="F19" s="263">
        <f t="shared" si="11"/>
        <v>0.10682444539443166</v>
      </c>
      <c r="G19" s="277">
        <f t="shared" si="9"/>
        <v>-33.320999999999998</v>
      </c>
      <c r="H19" s="278">
        <f t="shared" si="12"/>
        <v>-6.06</v>
      </c>
      <c r="I19" s="263">
        <f t="shared" si="13"/>
        <v>-0.3620116466037982</v>
      </c>
      <c r="J19" s="163">
        <v>68.087999999999994</v>
      </c>
      <c r="K19" s="268">
        <f t="shared" si="14"/>
        <v>0.12386054591924904</v>
      </c>
      <c r="L19" s="266">
        <f t="shared" si="5"/>
        <v>-23.956000000000003</v>
      </c>
      <c r="M19" s="267">
        <f t="shared" si="6"/>
        <v>-4.3600000000000003</v>
      </c>
      <c r="N19" s="268">
        <f t="shared" si="7"/>
        <v>-0.26026682890791364</v>
      </c>
      <c r="O19" s="279">
        <v>63.945</v>
      </c>
      <c r="P19" s="273">
        <f t="shared" si="15"/>
        <v>0.11632391330052845</v>
      </c>
      <c r="Q19" s="271">
        <f>O19-C19</f>
        <v>-28.098999999999997</v>
      </c>
      <c r="R19" s="272">
        <f>ROUND((P19-D19)*100,2)</f>
        <v>-5.1100000000000003</v>
      </c>
      <c r="S19" s="387">
        <f>(O19-C19)/C19</f>
        <v>-0.30527791056451259</v>
      </c>
    </row>
    <row r="20" spans="1:19" x14ac:dyDescent="0.3">
      <c r="A20" s="8" t="s">
        <v>20</v>
      </c>
      <c r="B20" s="258"/>
      <c r="C20" s="258"/>
      <c r="D20" s="259"/>
      <c r="E20" s="260"/>
      <c r="F20" s="263"/>
      <c r="G20" s="261"/>
      <c r="H20" s="262"/>
      <c r="I20" s="263"/>
      <c r="J20" s="264"/>
      <c r="K20" s="268"/>
      <c r="L20" s="266"/>
      <c r="M20" s="267"/>
      <c r="N20" s="268"/>
      <c r="O20" s="269"/>
      <c r="P20" s="273"/>
      <c r="Q20" s="271"/>
      <c r="R20" s="272"/>
      <c r="S20" s="387"/>
    </row>
    <row r="21" spans="1:19" x14ac:dyDescent="0.3">
      <c r="A21" s="4" t="s">
        <v>22</v>
      </c>
      <c r="B21" s="274">
        <f>'[1]ATTIS Summary Tables'!$H$2024/1000</f>
        <v>8135.46</v>
      </c>
      <c r="C21" s="274">
        <f>'[2]SPM tables'!$D$2024/1000</f>
        <v>1459.43</v>
      </c>
      <c r="D21" s="280">
        <f t="shared" ref="D21:D22" si="16">C21/$B21</f>
        <v>0.17939120836437031</v>
      </c>
      <c r="E21" s="276">
        <v>1042.33</v>
      </c>
      <c r="F21" s="263">
        <f t="shared" ref="F21:F22" si="17">E21/$B21</f>
        <v>0.12812182716158643</v>
      </c>
      <c r="G21" s="277">
        <f t="shared" si="9"/>
        <v>-417.10000000000014</v>
      </c>
      <c r="H21" s="278">
        <f t="shared" ref="H21:H22" si="18">ROUND((F21-D21)*100,2)</f>
        <v>-5.13</v>
      </c>
      <c r="I21" s="263">
        <f t="shared" ref="I21:I22" si="19">(E21-C21)/C21</f>
        <v>-0.28579650959621228</v>
      </c>
      <c r="J21" s="163">
        <v>1097.8800000000001</v>
      </c>
      <c r="K21" s="268">
        <f t="shared" ref="K21:K22" si="20">J21/$B21</f>
        <v>0.13494995980559182</v>
      </c>
      <c r="L21" s="266">
        <f t="shared" si="5"/>
        <v>-361.54999999999995</v>
      </c>
      <c r="M21" s="267">
        <f t="shared" si="6"/>
        <v>-4.4400000000000004</v>
      </c>
      <c r="N21" s="268">
        <f t="shared" si="7"/>
        <v>-0.24773370425440064</v>
      </c>
      <c r="O21" s="279">
        <v>1086.8</v>
      </c>
      <c r="P21" s="273">
        <f t="shared" ref="P21:P22" si="21">O21/$B21</f>
        <v>0.13358802083717453</v>
      </c>
      <c r="Q21" s="271">
        <f>O21-C21</f>
        <v>-372.63000000000011</v>
      </c>
      <c r="R21" s="272">
        <f>ROUND((P21-D21)*100,2)</f>
        <v>-4.58</v>
      </c>
      <c r="S21" s="387">
        <f>(O21-C21)/C21</f>
        <v>-0.25532570935228144</v>
      </c>
    </row>
    <row r="22" spans="1:19" ht="13.5" thickBot="1" x14ac:dyDescent="0.35">
      <c r="A22" s="10" t="s">
        <v>53</v>
      </c>
      <c r="B22" s="281">
        <f>('[1]ATTIS Summary Tables'!$H$2044-'[1]ATTIS Summary Tables'!$H$2024)/1000</f>
        <v>10744.44</v>
      </c>
      <c r="C22" s="281">
        <f>('[2]SPM tables'!$D$2044-'[2]SPM tables'!$D$2024)/1000</f>
        <v>1024.18</v>
      </c>
      <c r="D22" s="282">
        <f t="shared" si="16"/>
        <v>9.5321859491979105E-2</v>
      </c>
      <c r="E22" s="283">
        <v>811.03</v>
      </c>
      <c r="F22" s="284">
        <f t="shared" si="17"/>
        <v>7.5483692030482732E-2</v>
      </c>
      <c r="G22" s="285">
        <f t="shared" si="9"/>
        <v>-213.15000000000009</v>
      </c>
      <c r="H22" s="286">
        <f t="shared" si="18"/>
        <v>-1.98</v>
      </c>
      <c r="I22" s="284">
        <f t="shared" si="19"/>
        <v>-0.20811771368314172</v>
      </c>
      <c r="J22" s="287">
        <v>852.4</v>
      </c>
      <c r="K22" s="288">
        <f t="shared" si="20"/>
        <v>7.9334055567344589E-2</v>
      </c>
      <c r="L22" s="289">
        <f t="shared" si="5"/>
        <v>-171.78000000000009</v>
      </c>
      <c r="M22" s="290">
        <f t="shared" si="6"/>
        <v>-1.6</v>
      </c>
      <c r="N22" s="288">
        <f t="shared" si="7"/>
        <v>-0.16772442344119204</v>
      </c>
      <c r="O22" s="291">
        <v>828.41</v>
      </c>
      <c r="P22" s="292">
        <f t="shared" si="21"/>
        <v>7.7101272844373459E-2</v>
      </c>
      <c r="Q22" s="293">
        <f>O22-C22</f>
        <v>-195.7700000000001</v>
      </c>
      <c r="R22" s="294">
        <f>ROUND((P22-D22)*100,2)</f>
        <v>-1.82</v>
      </c>
      <c r="S22" s="410">
        <f>(O22-C22)/C22</f>
        <v>-0.19114804038352642</v>
      </c>
    </row>
    <row r="23" spans="1:19" ht="15" customHeight="1" x14ac:dyDescent="0.3">
      <c r="A23" s="454" t="s">
        <v>76</v>
      </c>
      <c r="B23" s="454"/>
      <c r="C23" s="454"/>
      <c r="D23" s="454"/>
      <c r="E23" s="454"/>
      <c r="F23" s="454"/>
      <c r="G23" s="454"/>
      <c r="H23" s="454"/>
      <c r="I23" s="454"/>
    </row>
    <row r="24" spans="1:19" ht="40.5" customHeight="1" x14ac:dyDescent="0.3">
      <c r="A24" s="455" t="s">
        <v>124</v>
      </c>
      <c r="B24" s="455"/>
      <c r="C24" s="455"/>
      <c r="D24" s="455"/>
      <c r="E24" s="455"/>
      <c r="F24" s="455"/>
      <c r="G24" s="455"/>
      <c r="H24" s="455"/>
      <c r="I24" s="455"/>
    </row>
    <row r="25" spans="1:19" ht="28" customHeight="1" x14ac:dyDescent="0.3">
      <c r="A25" s="448" t="s">
        <v>120</v>
      </c>
      <c r="B25" s="448"/>
      <c r="C25" s="448"/>
      <c r="D25" s="448"/>
      <c r="E25" s="448"/>
      <c r="F25" s="448"/>
      <c r="G25" s="448"/>
      <c r="H25" s="448"/>
      <c r="I25" s="448"/>
    </row>
    <row r="26" spans="1:19" x14ac:dyDescent="0.3">
      <c r="B26" s="14"/>
      <c r="C26" s="14"/>
      <c r="E26" s="14"/>
    </row>
    <row r="28" spans="1:19" x14ac:dyDescent="0.3">
      <c r="B28" s="14"/>
    </row>
  </sheetData>
  <mergeCells count="9">
    <mergeCell ref="O6:S6"/>
    <mergeCell ref="J6:N6"/>
    <mergeCell ref="A25:I25"/>
    <mergeCell ref="A2:I2"/>
    <mergeCell ref="E5:G5"/>
    <mergeCell ref="E6:I6"/>
    <mergeCell ref="A23:I23"/>
    <mergeCell ref="A24:I24"/>
    <mergeCell ref="B6:D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31CE-37A4-44DE-89D1-EF542D702957}">
  <dimension ref="A1:S52"/>
  <sheetViews>
    <sheetView zoomScaleNormal="100" workbookViewId="0">
      <selection activeCell="H19" sqref="H19"/>
    </sheetView>
  </sheetViews>
  <sheetFormatPr defaultColWidth="9.1796875" defaultRowHeight="13" x14ac:dyDescent="0.3"/>
  <cols>
    <col min="1" max="1" width="49.81640625" style="1" customWidth="1"/>
    <col min="2" max="9" width="13.54296875" style="13" customWidth="1"/>
    <col min="10" max="19" width="13.54296875" style="1" customWidth="1"/>
    <col min="20" max="16384" width="9.1796875" style="1"/>
  </cols>
  <sheetData>
    <row r="1" spans="1:19" s="20" customFormat="1" x14ac:dyDescent="0.3">
      <c r="A1" s="18" t="s">
        <v>23</v>
      </c>
      <c r="B1" s="19" t="s">
        <v>54</v>
      </c>
      <c r="C1" s="15"/>
      <c r="D1" s="15"/>
      <c r="E1" s="15"/>
      <c r="F1" s="15"/>
      <c r="G1" s="15"/>
      <c r="H1" s="15"/>
      <c r="I1" s="15"/>
    </row>
    <row r="2" spans="1:19" s="20" customFormat="1" x14ac:dyDescent="0.3">
      <c r="A2" s="449" t="s">
        <v>201</v>
      </c>
      <c r="B2" s="450"/>
      <c r="C2" s="450"/>
      <c r="D2" s="450"/>
      <c r="E2" s="450"/>
      <c r="F2" s="450"/>
      <c r="G2" s="450"/>
      <c r="H2" s="450"/>
      <c r="I2" s="450"/>
    </row>
    <row r="3" spans="1:19" s="20" customFormat="1" x14ac:dyDescent="0.3">
      <c r="A3" s="24" t="s">
        <v>118</v>
      </c>
      <c r="B3" s="19"/>
      <c r="C3" s="15"/>
      <c r="D3" s="15"/>
      <c r="E3" s="15"/>
      <c r="F3" s="15"/>
      <c r="G3" s="15"/>
      <c r="H3" s="15"/>
      <c r="I3" s="15"/>
    </row>
    <row r="4" spans="1:19" s="20" customFormat="1" x14ac:dyDescent="0.3">
      <c r="A4" s="23" t="s">
        <v>119</v>
      </c>
      <c r="B4" s="19"/>
      <c r="C4" s="15"/>
      <c r="D4" s="15"/>
      <c r="E4" s="15"/>
      <c r="F4" s="15"/>
      <c r="G4" s="15"/>
      <c r="H4" s="15"/>
      <c r="I4" s="15"/>
    </row>
    <row r="5" spans="1:19" s="20" customFormat="1" x14ac:dyDescent="0.3">
      <c r="A5" s="20" t="s">
        <v>100</v>
      </c>
      <c r="B5" s="15"/>
      <c r="C5" s="15"/>
      <c r="D5" s="15"/>
      <c r="E5" s="451"/>
      <c r="F5" s="451"/>
      <c r="G5" s="451"/>
      <c r="H5" s="15"/>
      <c r="I5" s="15"/>
    </row>
    <row r="6" spans="1:19" s="20" customFormat="1" ht="15" customHeight="1" x14ac:dyDescent="0.3">
      <c r="B6" s="456" t="s">
        <v>129</v>
      </c>
      <c r="C6" s="456"/>
      <c r="D6" s="456"/>
      <c r="E6" s="452" t="s">
        <v>195</v>
      </c>
      <c r="F6" s="453"/>
      <c r="G6" s="453"/>
      <c r="H6" s="453"/>
      <c r="I6" s="453"/>
      <c r="J6" s="446" t="s">
        <v>196</v>
      </c>
      <c r="K6" s="457"/>
      <c r="L6" s="457"/>
      <c r="M6" s="457"/>
      <c r="N6" s="458"/>
      <c r="O6" s="444" t="s">
        <v>197</v>
      </c>
      <c r="P6" s="445"/>
      <c r="Q6" s="445"/>
      <c r="R6" s="445"/>
      <c r="S6" s="445"/>
    </row>
    <row r="7" spans="1:19" s="20" customFormat="1" ht="51.75" customHeight="1" thickBot="1" x14ac:dyDescent="0.35">
      <c r="A7" s="21"/>
      <c r="B7" s="234" t="s">
        <v>63</v>
      </c>
      <c r="C7" s="235" t="s">
        <v>88</v>
      </c>
      <c r="D7" s="235" t="s">
        <v>87</v>
      </c>
      <c r="E7" s="236" t="s">
        <v>89</v>
      </c>
      <c r="F7" s="237" t="s">
        <v>86</v>
      </c>
      <c r="G7" s="237" t="s">
        <v>64</v>
      </c>
      <c r="H7" s="237" t="s">
        <v>65</v>
      </c>
      <c r="I7" s="237" t="s">
        <v>68</v>
      </c>
      <c r="J7" s="238" t="s">
        <v>89</v>
      </c>
      <c r="K7" s="239" t="s">
        <v>86</v>
      </c>
      <c r="L7" s="239" t="s">
        <v>64</v>
      </c>
      <c r="M7" s="239" t="s">
        <v>65</v>
      </c>
      <c r="N7" s="239" t="s">
        <v>68</v>
      </c>
      <c r="O7" s="240" t="s">
        <v>89</v>
      </c>
      <c r="P7" s="241" t="s">
        <v>86</v>
      </c>
      <c r="Q7" s="241" t="s">
        <v>64</v>
      </c>
      <c r="R7" s="241" t="s">
        <v>65</v>
      </c>
      <c r="S7" s="307" t="s">
        <v>68</v>
      </c>
    </row>
    <row r="8" spans="1:19" ht="14.5" x14ac:dyDescent="0.3">
      <c r="A8" s="1" t="s">
        <v>56</v>
      </c>
      <c r="B8" s="295">
        <f>'[1]ATTIS Summary Tables'!$J$615/1000</f>
        <v>18879.900000000001</v>
      </c>
      <c r="C8" s="244"/>
      <c r="D8" s="245"/>
      <c r="E8" s="246"/>
      <c r="F8" s="247"/>
      <c r="G8" s="248"/>
      <c r="H8" s="296"/>
      <c r="I8" s="247"/>
      <c r="J8" s="250"/>
      <c r="K8" s="251"/>
      <c r="L8" s="252"/>
      <c r="M8" s="297"/>
      <c r="N8" s="251"/>
      <c r="O8" s="254"/>
      <c r="P8" s="255"/>
      <c r="Q8" s="256"/>
      <c r="R8" s="298"/>
      <c r="S8" s="409"/>
    </row>
    <row r="9" spans="1:19" ht="14.5" x14ac:dyDescent="0.3">
      <c r="A9" s="8" t="s">
        <v>82</v>
      </c>
      <c r="B9" s="243"/>
      <c r="C9" s="258"/>
      <c r="D9" s="275"/>
      <c r="E9" s="260"/>
      <c r="F9" s="261"/>
      <c r="G9" s="277"/>
      <c r="H9" s="262"/>
      <c r="I9" s="263"/>
      <c r="J9" s="264"/>
      <c r="K9" s="265"/>
      <c r="L9" s="266"/>
      <c r="M9" s="299"/>
      <c r="N9" s="268"/>
      <c r="O9" s="269"/>
      <c r="P9" s="270"/>
      <c r="Q9" s="271"/>
      <c r="R9" s="300"/>
      <c r="S9" s="387"/>
    </row>
    <row r="10" spans="1:19" x14ac:dyDescent="0.3">
      <c r="A10" s="4" t="s">
        <v>0</v>
      </c>
      <c r="B10" s="242"/>
      <c r="C10" s="274">
        <f>'[2]SPM tables'!$D$615/1000</f>
        <v>657.04899999999998</v>
      </c>
      <c r="D10" s="275">
        <f>C10/$B$8</f>
        <v>3.4801508482566114E-2</v>
      </c>
      <c r="E10" s="276">
        <v>436.04399999999998</v>
      </c>
      <c r="F10" s="263">
        <f>E10/$B$8</f>
        <v>2.3095673176235041E-2</v>
      </c>
      <c r="G10" s="277">
        <f>E10-C10</f>
        <v>-221.005</v>
      </c>
      <c r="H10" s="278">
        <f>ROUND((F10-D10)*100,2)</f>
        <v>-1.17</v>
      </c>
      <c r="I10" s="263">
        <f>(E10-C10)/C10</f>
        <v>-0.33635999750399131</v>
      </c>
      <c r="J10" s="163">
        <v>443.45800000000003</v>
      </c>
      <c r="K10" s="268">
        <f>J10/$B$8</f>
        <v>2.3488365934141602E-2</v>
      </c>
      <c r="L10" s="266">
        <f>J10-C10</f>
        <v>-213.59099999999995</v>
      </c>
      <c r="M10" s="267">
        <f>ROUND((K10-D10)*100,2)</f>
        <v>-1.1299999999999999</v>
      </c>
      <c r="N10" s="268">
        <f>(J10-C10)/C10</f>
        <v>-0.3250762119720142</v>
      </c>
      <c r="O10" s="279">
        <v>465.19099999999997</v>
      </c>
      <c r="P10" s="273">
        <f>O10/$B$8</f>
        <v>2.4639484319302535E-2</v>
      </c>
      <c r="Q10" s="271">
        <f>O10-C10</f>
        <v>-191.858</v>
      </c>
      <c r="R10" s="272">
        <f>ROUND((P10-D10)*100,2)</f>
        <v>-1.02</v>
      </c>
      <c r="S10" s="387">
        <f>(O10-C10)/C10</f>
        <v>-0.2919995312373963</v>
      </c>
    </row>
    <row r="11" spans="1:19" x14ac:dyDescent="0.3">
      <c r="A11" s="4" t="s">
        <v>1</v>
      </c>
      <c r="B11" s="242"/>
      <c r="C11" s="274">
        <f>'[2]SPM tables'!$E$615/1000</f>
        <v>2483.61</v>
      </c>
      <c r="D11" s="275">
        <f t="shared" ref="D11:D13" si="0">C11/$B$8</f>
        <v>0.13154783658811753</v>
      </c>
      <c r="E11" s="276">
        <v>1853.36</v>
      </c>
      <c r="F11" s="263">
        <f t="shared" ref="F11:F13" si="1">E11/$B$8</f>
        <v>9.8165774183125956E-2</v>
      </c>
      <c r="G11" s="277">
        <f t="shared" ref="G11:G46" si="2">E11-C11</f>
        <v>-630.25000000000023</v>
      </c>
      <c r="H11" s="278">
        <f t="shared" ref="H11:H13" si="3">ROUND((F11-D11)*100,2)</f>
        <v>-3.34</v>
      </c>
      <c r="I11" s="263">
        <f t="shared" ref="I11:I13" si="4">(E11-C11)/C11</f>
        <v>-0.25376367465101213</v>
      </c>
      <c r="J11" s="163">
        <v>1950.28</v>
      </c>
      <c r="K11" s="268">
        <f t="shared" ref="K11:K13" si="5">J11/$B$8</f>
        <v>0.10329927594955481</v>
      </c>
      <c r="L11" s="266">
        <f t="shared" ref="L11:L46" si="6">J11-C11</f>
        <v>-533.33000000000015</v>
      </c>
      <c r="M11" s="267">
        <f t="shared" ref="M11:M46" si="7">ROUND((K11-D11)*100,2)</f>
        <v>-2.82</v>
      </c>
      <c r="N11" s="268">
        <f t="shared" ref="N11:N46" si="8">(J11-C11)/C11</f>
        <v>-0.21473983435402505</v>
      </c>
      <c r="O11" s="279">
        <v>1915.21</v>
      </c>
      <c r="P11" s="273">
        <f t="shared" ref="P11:P13" si="9">O11/$B$8</f>
        <v>0.10144174492449641</v>
      </c>
      <c r="Q11" s="271">
        <f>O11-C11</f>
        <v>-568.40000000000009</v>
      </c>
      <c r="R11" s="272">
        <f>ROUND((P11-D11)*100,2)</f>
        <v>-3.01</v>
      </c>
      <c r="S11" s="387">
        <f>(O11-C11)/C11</f>
        <v>-0.22886040884035741</v>
      </c>
    </row>
    <row r="12" spans="1:19" x14ac:dyDescent="0.3">
      <c r="A12" s="4" t="s">
        <v>2</v>
      </c>
      <c r="B12" s="242"/>
      <c r="C12" s="274">
        <f>'[2]SPM tables'!$F$615/1000</f>
        <v>5782.33</v>
      </c>
      <c r="D12" s="275">
        <f t="shared" si="0"/>
        <v>0.30626910100159427</v>
      </c>
      <c r="E12" s="276">
        <v>5314.55</v>
      </c>
      <c r="F12" s="263">
        <f t="shared" si="1"/>
        <v>0.28149248671867966</v>
      </c>
      <c r="G12" s="277">
        <f t="shared" si="2"/>
        <v>-467.77999999999975</v>
      </c>
      <c r="H12" s="278">
        <f t="shared" si="3"/>
        <v>-2.48</v>
      </c>
      <c r="I12" s="263">
        <f t="shared" si="4"/>
        <v>-8.0898184641831197E-2</v>
      </c>
      <c r="J12" s="163">
        <v>5531.86</v>
      </c>
      <c r="K12" s="268">
        <f t="shared" si="5"/>
        <v>0.29300261124264426</v>
      </c>
      <c r="L12" s="266">
        <f t="shared" si="6"/>
        <v>-250.47000000000025</v>
      </c>
      <c r="M12" s="267">
        <f t="shared" si="7"/>
        <v>-1.33</v>
      </c>
      <c r="N12" s="268">
        <f t="shared" si="8"/>
        <v>-4.3316448559663712E-2</v>
      </c>
      <c r="O12" s="279">
        <v>5325.93</v>
      </c>
      <c r="P12" s="273">
        <f t="shared" si="9"/>
        <v>0.28209524414853893</v>
      </c>
      <c r="Q12" s="271">
        <f>O12-C12</f>
        <v>-456.39999999999964</v>
      </c>
      <c r="R12" s="272">
        <f>ROUND((P12-D12)*100,2)</f>
        <v>-2.42</v>
      </c>
      <c r="S12" s="387">
        <f>(O12-C12)/C12</f>
        <v>-7.8930119865175397E-2</v>
      </c>
    </row>
    <row r="13" spans="1:19" x14ac:dyDescent="0.3">
      <c r="A13" s="4" t="s">
        <v>3</v>
      </c>
      <c r="B13" s="242"/>
      <c r="C13" s="274">
        <f>'[2]SPM tables'!$G$615/1000</f>
        <v>8250.7999999999993</v>
      </c>
      <c r="D13" s="275">
        <f t="shared" si="0"/>
        <v>0.43701502656264063</v>
      </c>
      <c r="E13" s="276">
        <v>8069.77</v>
      </c>
      <c r="F13" s="263">
        <f t="shared" si="1"/>
        <v>0.42742652238624146</v>
      </c>
      <c r="G13" s="277">
        <f t="shared" si="2"/>
        <v>-181.02999999999884</v>
      </c>
      <c r="H13" s="278">
        <f t="shared" si="3"/>
        <v>-0.96</v>
      </c>
      <c r="I13" s="263">
        <f t="shared" si="4"/>
        <v>-2.1940902700344069E-2</v>
      </c>
      <c r="J13" s="163">
        <v>8176.74</v>
      </c>
      <c r="K13" s="268">
        <f t="shared" si="5"/>
        <v>0.43309233629415406</v>
      </c>
      <c r="L13" s="266">
        <f t="shared" si="6"/>
        <v>-74.059999999999491</v>
      </c>
      <c r="M13" s="267">
        <f t="shared" si="7"/>
        <v>-0.39</v>
      </c>
      <c r="N13" s="268">
        <f t="shared" si="8"/>
        <v>-8.9760992873417732E-3</v>
      </c>
      <c r="O13" s="279">
        <v>8062.37</v>
      </c>
      <c r="P13" s="273">
        <f t="shared" si="9"/>
        <v>0.42703457115768617</v>
      </c>
      <c r="Q13" s="271">
        <f>O13-C13</f>
        <v>-188.42999999999938</v>
      </c>
      <c r="R13" s="272">
        <f>ROUND((P13-D13)*100,2)</f>
        <v>-1</v>
      </c>
      <c r="S13" s="387">
        <f>(O13-C13)/C13</f>
        <v>-2.2837785426867624E-2</v>
      </c>
    </row>
    <row r="14" spans="1:19" x14ac:dyDescent="0.3">
      <c r="A14" s="8" t="s">
        <v>14</v>
      </c>
      <c r="B14" s="243"/>
      <c r="C14" s="258"/>
      <c r="D14" s="275"/>
      <c r="E14" s="260"/>
      <c r="F14" s="263"/>
      <c r="G14" s="277"/>
      <c r="H14" s="262"/>
      <c r="I14" s="263"/>
      <c r="J14" s="264"/>
      <c r="K14" s="268"/>
      <c r="L14" s="266"/>
      <c r="M14" s="267"/>
      <c r="N14" s="268"/>
      <c r="O14" s="269"/>
      <c r="P14" s="273"/>
      <c r="Q14" s="271"/>
      <c r="R14" s="272"/>
      <c r="S14" s="387"/>
    </row>
    <row r="15" spans="1:19" x14ac:dyDescent="0.3">
      <c r="A15" s="4" t="s">
        <v>4</v>
      </c>
      <c r="B15" s="242">
        <f>'[1]ATTIS Summary Tables'!$J$633/1000</f>
        <v>3993.93</v>
      </c>
      <c r="C15" s="274"/>
      <c r="D15" s="275"/>
      <c r="E15" s="276"/>
      <c r="F15" s="263"/>
      <c r="G15" s="277"/>
      <c r="H15" s="301"/>
      <c r="I15" s="263"/>
      <c r="J15" s="163"/>
      <c r="K15" s="268"/>
      <c r="L15" s="266"/>
      <c r="M15" s="267"/>
      <c r="N15" s="268"/>
      <c r="O15" s="279"/>
      <c r="P15" s="273"/>
      <c r="Q15" s="271"/>
      <c r="R15" s="272"/>
      <c r="S15" s="387"/>
    </row>
    <row r="16" spans="1:19" x14ac:dyDescent="0.3">
      <c r="A16" s="9" t="s">
        <v>0</v>
      </c>
      <c r="B16" s="242"/>
      <c r="C16" s="274">
        <f>'[2]SPM tables'!$D$633/1000</f>
        <v>85.177999999999997</v>
      </c>
      <c r="D16" s="275">
        <f>C16/$B$15</f>
        <v>2.1326863515384598E-2</v>
      </c>
      <c r="E16" s="276">
        <v>30.273</v>
      </c>
      <c r="F16" s="263">
        <f>E16/$B$15</f>
        <v>7.5797522740759108E-3</v>
      </c>
      <c r="G16" s="277">
        <f t="shared" si="2"/>
        <v>-54.905000000000001</v>
      </c>
      <c r="H16" s="278">
        <f>ROUND((F16-D16)*100,2)</f>
        <v>-1.37</v>
      </c>
      <c r="I16" s="263">
        <f t="shared" ref="I16:I19" si="10">(E16-C16)/C16</f>
        <v>-0.64459132639883543</v>
      </c>
      <c r="J16" s="163">
        <v>34.357999999999997</v>
      </c>
      <c r="K16" s="268">
        <f>J16/$B$15</f>
        <v>8.6025543762659838E-3</v>
      </c>
      <c r="L16" s="266">
        <f t="shared" si="6"/>
        <v>-50.82</v>
      </c>
      <c r="M16" s="267">
        <f t="shared" si="7"/>
        <v>-1.27</v>
      </c>
      <c r="N16" s="268">
        <f t="shared" si="8"/>
        <v>-0.59663293338655521</v>
      </c>
      <c r="O16" s="279">
        <v>36.238999999999997</v>
      </c>
      <c r="P16" s="273">
        <f>O16/$B$15</f>
        <v>9.0735190651814127E-3</v>
      </c>
      <c r="Q16" s="271">
        <f>O16-C16</f>
        <v>-48.939</v>
      </c>
      <c r="R16" s="272">
        <f>ROUND((P16-D16)*100,2)</f>
        <v>-1.23</v>
      </c>
      <c r="S16" s="387">
        <f>(O16-C16)/C16</f>
        <v>-0.57454976637159827</v>
      </c>
    </row>
    <row r="17" spans="1:19" x14ac:dyDescent="0.3">
      <c r="A17" s="9" t="s">
        <v>1</v>
      </c>
      <c r="B17" s="242"/>
      <c r="C17" s="274">
        <f>'[2]SPM tables'!$E$633/1000</f>
        <v>521.57799999999997</v>
      </c>
      <c r="D17" s="275">
        <f t="shared" ref="D17:D19" si="11">C17/$B$15</f>
        <v>0.13059267438337677</v>
      </c>
      <c r="E17" s="276">
        <v>258.12099999999998</v>
      </c>
      <c r="F17" s="263">
        <f t="shared" ref="F17:F19" si="12">E17/$B$15</f>
        <v>6.4628323480882238E-2</v>
      </c>
      <c r="G17" s="277">
        <f t="shared" si="2"/>
        <v>-263.45699999999999</v>
      </c>
      <c r="H17" s="278">
        <f t="shared" ref="H17:H19" si="13">ROUND((F17-D17)*100,2)</f>
        <v>-6.6</v>
      </c>
      <c r="I17" s="263">
        <f t="shared" si="10"/>
        <v>-0.50511524642527106</v>
      </c>
      <c r="J17" s="163">
        <v>307.47399999999999</v>
      </c>
      <c r="K17" s="268">
        <f t="shared" ref="K17:K19" si="14">J17/$B$15</f>
        <v>7.6985325231038099E-2</v>
      </c>
      <c r="L17" s="266">
        <f t="shared" si="6"/>
        <v>-214.10399999999998</v>
      </c>
      <c r="M17" s="267">
        <f t="shared" si="7"/>
        <v>-5.36</v>
      </c>
      <c r="N17" s="268">
        <f t="shared" si="8"/>
        <v>-0.41049277385165783</v>
      </c>
      <c r="O17" s="279">
        <v>278.04700000000003</v>
      </c>
      <c r="P17" s="273">
        <f t="shared" ref="P17:P19" si="15">O17/$B$15</f>
        <v>6.961739439599593E-2</v>
      </c>
      <c r="Q17" s="271">
        <f>O17-C17</f>
        <v>-243.53099999999995</v>
      </c>
      <c r="R17" s="272">
        <f>ROUND((P17-D17)*100,2)</f>
        <v>-6.1</v>
      </c>
      <c r="S17" s="387">
        <f>(O17-C17)/C17</f>
        <v>-0.46691194797326568</v>
      </c>
    </row>
    <row r="18" spans="1:19" x14ac:dyDescent="0.3">
      <c r="A18" s="9" t="s">
        <v>2</v>
      </c>
      <c r="B18" s="242"/>
      <c r="C18" s="274">
        <f>'[2]SPM tables'!$F$633/1000</f>
        <v>1460.74</v>
      </c>
      <c r="D18" s="275">
        <f t="shared" si="11"/>
        <v>0.365740010465882</v>
      </c>
      <c r="E18" s="276">
        <v>1215.0999999999999</v>
      </c>
      <c r="F18" s="263">
        <f t="shared" si="12"/>
        <v>0.30423667916062624</v>
      </c>
      <c r="G18" s="277">
        <f t="shared" si="2"/>
        <v>-245.6400000000001</v>
      </c>
      <c r="H18" s="278">
        <f t="shared" si="13"/>
        <v>-6.15</v>
      </c>
      <c r="I18" s="263">
        <f t="shared" si="10"/>
        <v>-0.16816134288100559</v>
      </c>
      <c r="J18" s="163">
        <v>1334.46</v>
      </c>
      <c r="K18" s="268">
        <f t="shared" si="14"/>
        <v>0.33412203018079939</v>
      </c>
      <c r="L18" s="266">
        <f t="shared" si="6"/>
        <v>-126.27999999999997</v>
      </c>
      <c r="M18" s="267">
        <f t="shared" si="7"/>
        <v>-3.16</v>
      </c>
      <c r="N18" s="268">
        <f t="shared" si="8"/>
        <v>-8.644933389925652E-2</v>
      </c>
      <c r="O18" s="279">
        <v>1217.53</v>
      </c>
      <c r="P18" s="273">
        <f t="shared" si="15"/>
        <v>0.30484510244295721</v>
      </c>
      <c r="Q18" s="271">
        <f>O18-C18</f>
        <v>-243.21000000000004</v>
      </c>
      <c r="R18" s="272">
        <f>ROUND((P18-D18)*100,2)</f>
        <v>-6.09</v>
      </c>
      <c r="S18" s="387">
        <f>(O18-C18)/C18</f>
        <v>-0.16649780248367269</v>
      </c>
    </row>
    <row r="19" spans="1:19" x14ac:dyDescent="0.3">
      <c r="A19" s="9" t="s">
        <v>3</v>
      </c>
      <c r="B19" s="242"/>
      <c r="C19" s="274">
        <f>'[2]SPM tables'!$G$633/1000</f>
        <v>2090.94</v>
      </c>
      <c r="D19" s="275">
        <f t="shared" si="11"/>
        <v>0.52352945594940326</v>
      </c>
      <c r="E19" s="276">
        <v>2003.92</v>
      </c>
      <c r="F19" s="263">
        <f t="shared" si="12"/>
        <v>0.50174139256321471</v>
      </c>
      <c r="G19" s="277">
        <f t="shared" si="2"/>
        <v>-87.019999999999982</v>
      </c>
      <c r="H19" s="278">
        <f t="shared" si="13"/>
        <v>-2.1800000000000002</v>
      </c>
      <c r="I19" s="263">
        <f t="shared" si="10"/>
        <v>-4.1617645652194696E-2</v>
      </c>
      <c r="J19" s="163">
        <v>2060.5100000000002</v>
      </c>
      <c r="K19" s="268">
        <f t="shared" si="14"/>
        <v>0.51591039402292982</v>
      </c>
      <c r="L19" s="266">
        <f t="shared" si="6"/>
        <v>-30.429999999999836</v>
      </c>
      <c r="M19" s="267">
        <f t="shared" si="7"/>
        <v>-0.76</v>
      </c>
      <c r="N19" s="268">
        <f t="shared" si="8"/>
        <v>-1.4553263125675455E-2</v>
      </c>
      <c r="O19" s="279">
        <v>1998.24</v>
      </c>
      <c r="P19" s="273">
        <f t="shared" si="15"/>
        <v>0.5003192344382601</v>
      </c>
      <c r="Q19" s="271">
        <f>O19-C19</f>
        <v>-92.700000000000045</v>
      </c>
      <c r="R19" s="272">
        <f>ROUND((P19-D19)*100,2)</f>
        <v>-2.3199999999999998</v>
      </c>
      <c r="S19" s="387">
        <f>(O19-C19)/C19</f>
        <v>-4.4334127234640898E-2</v>
      </c>
    </row>
    <row r="20" spans="1:19" x14ac:dyDescent="0.3">
      <c r="A20" s="4" t="s">
        <v>55</v>
      </c>
      <c r="B20" s="242">
        <f>SUM('[1]ATTIS Summary Tables'!$J$857:$J$858)/1000</f>
        <v>1108.269</v>
      </c>
      <c r="C20" s="274"/>
      <c r="D20" s="275"/>
      <c r="E20" s="276"/>
      <c r="F20" s="263"/>
      <c r="G20" s="277"/>
      <c r="H20" s="301"/>
      <c r="I20" s="263"/>
      <c r="J20" s="163"/>
      <c r="K20" s="268"/>
      <c r="L20" s="266"/>
      <c r="M20" s="267"/>
      <c r="N20" s="268"/>
      <c r="O20" s="279"/>
      <c r="P20" s="273"/>
      <c r="Q20" s="271"/>
      <c r="R20" s="272"/>
      <c r="S20" s="387"/>
    </row>
    <row r="21" spans="1:19" x14ac:dyDescent="0.3">
      <c r="A21" s="9" t="s">
        <v>0</v>
      </c>
      <c r="B21" s="242"/>
      <c r="C21" s="274">
        <f>SUM('[2]SPM tables'!$D$857:$D$858)/1000</f>
        <v>24.193999999999999</v>
      </c>
      <c r="D21" s="275">
        <f>C21/$B$20</f>
        <v>2.1830440082687506E-2</v>
      </c>
      <c r="E21" s="276">
        <v>6.7430000000000003</v>
      </c>
      <c r="F21" s="263">
        <f>E21/$B$20</f>
        <v>6.0842629361644151E-3</v>
      </c>
      <c r="G21" s="277">
        <f t="shared" si="2"/>
        <v>-17.451000000000001</v>
      </c>
      <c r="H21" s="278">
        <f>ROUND((F21-D21)*100,2)</f>
        <v>-1.57</v>
      </c>
      <c r="I21" s="263">
        <f t="shared" ref="I21:I24" si="16">(E21-C21)/C21</f>
        <v>-0.7212945358353311</v>
      </c>
      <c r="J21" s="163">
        <v>7.31</v>
      </c>
      <c r="K21" s="268">
        <f>J21/$B$20</f>
        <v>6.5958715799142621E-3</v>
      </c>
      <c r="L21" s="266">
        <f t="shared" si="6"/>
        <v>-16.884</v>
      </c>
      <c r="M21" s="267">
        <f t="shared" si="7"/>
        <v>-1.52</v>
      </c>
      <c r="N21" s="268">
        <f t="shared" si="8"/>
        <v>-0.69785897329916513</v>
      </c>
      <c r="O21" s="279">
        <v>7.7789999999999999</v>
      </c>
      <c r="P21" s="273">
        <f>O21/$B$20</f>
        <v>7.0190540383246302E-3</v>
      </c>
      <c r="Q21" s="271">
        <f>O21-C21</f>
        <v>-16.414999999999999</v>
      </c>
      <c r="R21" s="272">
        <f>ROUND((P21-D21)*100,2)</f>
        <v>-1.48</v>
      </c>
      <c r="S21" s="387">
        <f>(O21-C21)/C21</f>
        <v>-0.67847400181863271</v>
      </c>
    </row>
    <row r="22" spans="1:19" x14ac:dyDescent="0.3">
      <c r="A22" s="9" t="s">
        <v>1</v>
      </c>
      <c r="B22" s="242"/>
      <c r="C22" s="274">
        <f>SUM('[2]SPM tables'!$E$857:$E$858)/1000</f>
        <v>151.751</v>
      </c>
      <c r="D22" s="275">
        <f t="shared" ref="D22:D24" si="17">C22/$B$20</f>
        <v>0.13692614338215722</v>
      </c>
      <c r="E22" s="276">
        <v>71.900999999999996</v>
      </c>
      <c r="F22" s="263">
        <f t="shared" ref="F22:F24" si="18">E22/$B$20</f>
        <v>6.4876848490754493E-2</v>
      </c>
      <c r="G22" s="277">
        <f t="shared" si="2"/>
        <v>-79.850000000000009</v>
      </c>
      <c r="H22" s="278">
        <f t="shared" ref="H22:H24" si="19">ROUND((F22-D22)*100,2)</f>
        <v>-7.2</v>
      </c>
      <c r="I22" s="263">
        <f t="shared" si="16"/>
        <v>-0.52619093119649962</v>
      </c>
      <c r="J22" s="163">
        <v>83.775999999999996</v>
      </c>
      <c r="K22" s="268">
        <f t="shared" ref="K22:K24" si="20">J22/$B$20</f>
        <v>7.5591756153063919E-2</v>
      </c>
      <c r="L22" s="266">
        <f t="shared" si="6"/>
        <v>-67.975000000000009</v>
      </c>
      <c r="M22" s="267">
        <f t="shared" si="7"/>
        <v>-6.13</v>
      </c>
      <c r="N22" s="268">
        <f t="shared" si="8"/>
        <v>-0.44793774011373899</v>
      </c>
      <c r="O22" s="279">
        <v>73.887</v>
      </c>
      <c r="P22" s="273">
        <f t="shared" ref="P22:P24" si="21">O22/$B$20</f>
        <v>6.6668832205899475E-2</v>
      </c>
      <c r="Q22" s="271">
        <f>O22-C22</f>
        <v>-77.864000000000004</v>
      </c>
      <c r="R22" s="272">
        <f>ROUND((P22-D22)*100,2)</f>
        <v>-7.03</v>
      </c>
      <c r="S22" s="387">
        <f>(O22-C22)/C22</f>
        <v>-0.5131037027762585</v>
      </c>
    </row>
    <row r="23" spans="1:19" x14ac:dyDescent="0.3">
      <c r="A23" s="9" t="s">
        <v>2</v>
      </c>
      <c r="B23" s="242"/>
      <c r="C23" s="274">
        <f>SUM('[2]SPM tables'!$F$857:$F$858)/1000</f>
        <v>424.85599999999999</v>
      </c>
      <c r="D23" s="275">
        <f t="shared" si="17"/>
        <v>0.38335097345500052</v>
      </c>
      <c r="E23" s="276">
        <v>351.351</v>
      </c>
      <c r="F23" s="263">
        <f t="shared" si="18"/>
        <v>0.3170268229103223</v>
      </c>
      <c r="G23" s="277">
        <f t="shared" si="2"/>
        <v>-73.504999999999995</v>
      </c>
      <c r="H23" s="278">
        <f t="shared" si="19"/>
        <v>-6.63</v>
      </c>
      <c r="I23" s="263">
        <f t="shared" si="16"/>
        <v>-0.17301156156438888</v>
      </c>
      <c r="J23" s="163">
        <v>381.48700000000002</v>
      </c>
      <c r="K23" s="268">
        <f t="shared" si="20"/>
        <v>0.34421877721022603</v>
      </c>
      <c r="L23" s="266">
        <f t="shared" si="6"/>
        <v>-43.368999999999971</v>
      </c>
      <c r="M23" s="267">
        <f t="shared" si="7"/>
        <v>-3.91</v>
      </c>
      <c r="N23" s="268">
        <f t="shared" si="8"/>
        <v>-0.10207929274860181</v>
      </c>
      <c r="O23" s="279">
        <v>344.48</v>
      </c>
      <c r="P23" s="273">
        <f t="shared" si="21"/>
        <v>0.31082706454840842</v>
      </c>
      <c r="Q23" s="271">
        <f>O23-C23</f>
        <v>-80.375999999999976</v>
      </c>
      <c r="R23" s="272">
        <f>ROUND((P23-D23)*100,2)</f>
        <v>-7.25</v>
      </c>
      <c r="S23" s="387">
        <f>(O23-C23)/C23</f>
        <v>-0.18918410002447883</v>
      </c>
    </row>
    <row r="24" spans="1:19" x14ac:dyDescent="0.3">
      <c r="A24" s="9" t="s">
        <v>3</v>
      </c>
      <c r="B24" s="242"/>
      <c r="C24" s="274">
        <f>SUM('[2]SPM tables'!$G$857:$G$858)/1000</f>
        <v>600.024</v>
      </c>
      <c r="D24" s="275">
        <f t="shared" si="17"/>
        <v>0.54140646359322508</v>
      </c>
      <c r="E24" s="276">
        <v>578.23900000000003</v>
      </c>
      <c r="F24" s="263">
        <f t="shared" si="18"/>
        <v>0.52174968351546425</v>
      </c>
      <c r="G24" s="277">
        <f t="shared" si="2"/>
        <v>-21.784999999999968</v>
      </c>
      <c r="H24" s="278">
        <f t="shared" si="19"/>
        <v>-1.97</v>
      </c>
      <c r="I24" s="263">
        <f t="shared" si="16"/>
        <v>-3.6306881058090955E-2</v>
      </c>
      <c r="J24" s="163">
        <v>589.00599999999997</v>
      </c>
      <c r="K24" s="268">
        <f t="shared" si="20"/>
        <v>0.53146483389862931</v>
      </c>
      <c r="L24" s="266">
        <f t="shared" si="6"/>
        <v>-11.018000000000029</v>
      </c>
      <c r="M24" s="267">
        <f t="shared" si="7"/>
        <v>-0.99</v>
      </c>
      <c r="N24" s="268">
        <f t="shared" si="8"/>
        <v>-1.8362598829380208E-2</v>
      </c>
      <c r="O24" s="279">
        <v>573.45799999999997</v>
      </c>
      <c r="P24" s="273">
        <f t="shared" si="21"/>
        <v>0.51743574890211674</v>
      </c>
      <c r="Q24" s="271">
        <f>O24-C24</f>
        <v>-26.566000000000031</v>
      </c>
      <c r="R24" s="272">
        <f>ROUND((P24-D24)*100,2)</f>
        <v>-2.4</v>
      </c>
      <c r="S24" s="387">
        <f>(O24-C24)/C24</f>
        <v>-4.4274895670839885E-2</v>
      </c>
    </row>
    <row r="25" spans="1:19" x14ac:dyDescent="0.3">
      <c r="A25" s="4" t="s">
        <v>11</v>
      </c>
      <c r="B25" s="242">
        <f>SUM('[1]ATTIS Summary Tables'!$J$634:$J$637)/1000</f>
        <v>14885.93</v>
      </c>
      <c r="C25" s="274"/>
      <c r="D25" s="275"/>
      <c r="E25" s="276"/>
      <c r="F25" s="263"/>
      <c r="G25" s="277"/>
      <c r="H25" s="301"/>
      <c r="I25" s="263"/>
      <c r="J25" s="163"/>
      <c r="K25" s="268"/>
      <c r="L25" s="266"/>
      <c r="M25" s="267"/>
      <c r="N25" s="268"/>
      <c r="O25" s="279"/>
      <c r="P25" s="273"/>
      <c r="Q25" s="271"/>
      <c r="R25" s="272"/>
      <c r="S25" s="387"/>
    </row>
    <row r="26" spans="1:19" x14ac:dyDescent="0.3">
      <c r="A26" s="9" t="s">
        <v>0</v>
      </c>
      <c r="B26" s="242"/>
      <c r="C26" s="274">
        <f>SUM('[2]SPM tables'!$D$634:$D$637)/1000</f>
        <v>571.87099999999998</v>
      </c>
      <c r="D26" s="275">
        <f>C26/$B$25</f>
        <v>3.8416880907004132E-2</v>
      </c>
      <c r="E26" s="276">
        <v>405.77100000000002</v>
      </c>
      <c r="F26" s="263">
        <f>E26/$B$25</f>
        <v>2.7258693276133908E-2</v>
      </c>
      <c r="G26" s="277">
        <f t="shared" si="2"/>
        <v>-166.09999999999997</v>
      </c>
      <c r="H26" s="278">
        <f>ROUND((F26-D26)*100,2)</f>
        <v>-1.1200000000000001</v>
      </c>
      <c r="I26" s="263">
        <f t="shared" ref="I26:I28" si="22">(E26-C26)/C26</f>
        <v>-0.29045011899536777</v>
      </c>
      <c r="J26" s="163">
        <v>409.1</v>
      </c>
      <c r="K26" s="268">
        <f>J26/$B$25</f>
        <v>2.7482327271457007E-2</v>
      </c>
      <c r="L26" s="266">
        <f t="shared" si="6"/>
        <v>-162.77099999999996</v>
      </c>
      <c r="M26" s="267">
        <f t="shared" si="7"/>
        <v>-1.0900000000000001</v>
      </c>
      <c r="N26" s="268">
        <f t="shared" si="8"/>
        <v>-0.28462887609268517</v>
      </c>
      <c r="O26" s="279">
        <v>428.952</v>
      </c>
      <c r="P26" s="273">
        <f>O26/$B$25</f>
        <v>2.8815935584810621E-2</v>
      </c>
      <c r="Q26" s="271">
        <f>O26-C26</f>
        <v>-142.91899999999998</v>
      </c>
      <c r="R26" s="272">
        <f>ROUND((P26-D26)*100,2)</f>
        <v>-0.96</v>
      </c>
      <c r="S26" s="387">
        <f>(O26-C26)/C26</f>
        <v>-0.24991475350210099</v>
      </c>
    </row>
    <row r="27" spans="1:19" x14ac:dyDescent="0.3">
      <c r="A27" s="9" t="s">
        <v>1</v>
      </c>
      <c r="B27" s="242"/>
      <c r="C27" s="274">
        <f>SUM('[2]SPM tables'!$E$634:$E$637)/1000</f>
        <v>1962.029</v>
      </c>
      <c r="D27" s="275">
        <f t="shared" ref="D27:D29" si="23">C27/$B$25</f>
        <v>0.13180426080197877</v>
      </c>
      <c r="E27" s="276">
        <v>1595.2429999999999</v>
      </c>
      <c r="F27" s="263">
        <f t="shared" ref="F27:F29" si="24">E27/$B$25</f>
        <v>0.1071644835089242</v>
      </c>
      <c r="G27" s="277">
        <f t="shared" si="2"/>
        <v>-366.78600000000006</v>
      </c>
      <c r="H27" s="278">
        <f t="shared" ref="H27:H29" si="25">ROUND((F27-D27)*100,2)</f>
        <v>-2.46</v>
      </c>
      <c r="I27" s="263">
        <f t="shared" si="22"/>
        <v>-0.18694219096659634</v>
      </c>
      <c r="J27" s="163">
        <v>1642.8050000000001</v>
      </c>
      <c r="K27" s="268">
        <f t="shared" ref="K27:K29" si="26">J27/$B$25</f>
        <v>0.11035958116153979</v>
      </c>
      <c r="L27" s="266">
        <f t="shared" si="6"/>
        <v>-319.22399999999993</v>
      </c>
      <c r="M27" s="267">
        <f t="shared" si="7"/>
        <v>-2.14</v>
      </c>
      <c r="N27" s="268">
        <f t="shared" si="8"/>
        <v>-0.16270095905819942</v>
      </c>
      <c r="O27" s="279">
        <v>1637.164</v>
      </c>
      <c r="P27" s="273">
        <f t="shared" ref="P27:P29" si="27">O27/$B$25</f>
        <v>0.10998063271827827</v>
      </c>
      <c r="Q27" s="271">
        <f>O27-C27</f>
        <v>-324.86500000000001</v>
      </c>
      <c r="R27" s="272">
        <f>ROUND((P27-D27)*100,2)</f>
        <v>-2.1800000000000002</v>
      </c>
      <c r="S27" s="387">
        <f>(O27-C27)/C27</f>
        <v>-0.16557604398304002</v>
      </c>
    </row>
    <row r="28" spans="1:19" x14ac:dyDescent="0.3">
      <c r="A28" s="9" t="s">
        <v>2</v>
      </c>
      <c r="B28" s="242"/>
      <c r="C28" s="274">
        <f>SUM('[2]SPM tables'!$F$634:$F$637)/1000</f>
        <v>4321.58</v>
      </c>
      <c r="D28" s="275">
        <f t="shared" si="23"/>
        <v>0.29031306744019353</v>
      </c>
      <c r="E28" s="276">
        <v>4099.451</v>
      </c>
      <c r="F28" s="263">
        <f t="shared" si="24"/>
        <v>0.27539099001540379</v>
      </c>
      <c r="G28" s="277">
        <f t="shared" si="2"/>
        <v>-222.12899999999991</v>
      </c>
      <c r="H28" s="278">
        <f t="shared" si="25"/>
        <v>-1.49</v>
      </c>
      <c r="I28" s="263">
        <f t="shared" si="22"/>
        <v>-5.1399950943867734E-2</v>
      </c>
      <c r="J28" s="163">
        <v>4197.4009999999998</v>
      </c>
      <c r="K28" s="268">
        <f t="shared" si="26"/>
        <v>0.28197102901867738</v>
      </c>
      <c r="L28" s="266">
        <f t="shared" si="6"/>
        <v>-124.17900000000009</v>
      </c>
      <c r="M28" s="267">
        <f t="shared" si="7"/>
        <v>-0.83</v>
      </c>
      <c r="N28" s="268">
        <f t="shared" si="8"/>
        <v>-2.8734629464223754E-2</v>
      </c>
      <c r="O28" s="279">
        <v>4108.3890000000001</v>
      </c>
      <c r="P28" s="273">
        <f t="shared" si="27"/>
        <v>0.27599142277304811</v>
      </c>
      <c r="Q28" s="271">
        <f>O28-C28</f>
        <v>-213.1909999999998</v>
      </c>
      <c r="R28" s="272">
        <f>ROUND((P28-D28)*100,2)</f>
        <v>-1.43</v>
      </c>
      <c r="S28" s="387">
        <f>(O28-C28)/C28</f>
        <v>-4.9331725896547052E-2</v>
      </c>
    </row>
    <row r="29" spans="1:19" x14ac:dyDescent="0.3">
      <c r="A29" s="9" t="s">
        <v>3</v>
      </c>
      <c r="B29" s="242"/>
      <c r="C29" s="274">
        <f>SUM('[2]SPM tables'!$G$634:$G$637)/1000</f>
        <v>6159.8519999999999</v>
      </c>
      <c r="D29" s="275">
        <f t="shared" si="23"/>
        <v>0.41380363873805664</v>
      </c>
      <c r="E29" s="276">
        <v>6065.8559999999998</v>
      </c>
      <c r="F29" s="263">
        <f t="shared" si="24"/>
        <v>0.4074892196859719</v>
      </c>
      <c r="G29" s="277">
        <f t="shared" si="2"/>
        <v>-93.996000000000095</v>
      </c>
      <c r="H29" s="278">
        <f t="shared" si="25"/>
        <v>-0.63</v>
      </c>
      <c r="I29" s="263">
        <f>(E29-C29)/C29</f>
        <v>-1.525945753242125E-2</v>
      </c>
      <c r="J29" s="163">
        <v>6116.2309999999998</v>
      </c>
      <c r="K29" s="268">
        <f t="shared" si="26"/>
        <v>0.41087328772874787</v>
      </c>
      <c r="L29" s="266">
        <f t="shared" si="6"/>
        <v>-43.621000000000095</v>
      </c>
      <c r="M29" s="267">
        <f t="shared" si="7"/>
        <v>-0.28999999999999998</v>
      </c>
      <c r="N29" s="268">
        <f t="shared" si="8"/>
        <v>-7.0815013087976945E-3</v>
      </c>
      <c r="O29" s="279">
        <v>6064.1369999999997</v>
      </c>
      <c r="P29" s="273">
        <f t="shared" si="27"/>
        <v>0.40737374151295885</v>
      </c>
      <c r="Q29" s="271">
        <f>O29-C29</f>
        <v>-95.715000000000146</v>
      </c>
      <c r="R29" s="272">
        <f>ROUND((P29-D29)*100,2)</f>
        <v>-0.64</v>
      </c>
      <c r="S29" s="387">
        <f>(O29-C29)/C29</f>
        <v>-1.5538522678791657E-2</v>
      </c>
    </row>
    <row r="30" spans="1:19" x14ac:dyDescent="0.3">
      <c r="A30" s="8" t="s">
        <v>19</v>
      </c>
      <c r="B30" s="243"/>
      <c r="C30" s="258"/>
      <c r="D30" s="275"/>
      <c r="E30" s="260"/>
      <c r="F30" s="263"/>
      <c r="G30" s="277"/>
      <c r="H30" s="262"/>
      <c r="I30" s="263"/>
      <c r="J30" s="264"/>
      <c r="K30" s="268"/>
      <c r="L30" s="266"/>
      <c r="M30" s="267"/>
      <c r="N30" s="268"/>
      <c r="O30" s="269"/>
      <c r="P30" s="273"/>
      <c r="Q30" s="271"/>
      <c r="R30" s="272"/>
      <c r="S30" s="387"/>
    </row>
    <row r="31" spans="1:19" x14ac:dyDescent="0.3">
      <c r="A31" s="4" t="s">
        <v>5</v>
      </c>
      <c r="B31" s="242">
        <f>('[1]ATTIS Summary Tables'!$J$1033+'[1]ATTIS Summary Tables'!$J$1259)/1000</f>
        <v>10206.14</v>
      </c>
      <c r="C31" s="274"/>
      <c r="D31" s="275"/>
      <c r="E31" s="276"/>
      <c r="F31" s="263"/>
      <c r="G31" s="277"/>
      <c r="H31" s="278"/>
      <c r="I31" s="263"/>
      <c r="J31" s="163"/>
      <c r="K31" s="268"/>
      <c r="L31" s="266"/>
      <c r="M31" s="267"/>
      <c r="N31" s="268"/>
      <c r="O31" s="279"/>
      <c r="P31" s="273"/>
      <c r="Q31" s="271"/>
      <c r="R31" s="272"/>
      <c r="S31" s="387"/>
    </row>
    <row r="32" spans="1:19" x14ac:dyDescent="0.3">
      <c r="A32" s="9" t="s">
        <v>0</v>
      </c>
      <c r="B32" s="242"/>
      <c r="C32" s="274">
        <f>('[2]SPM tables'!$D$1033+'[2]SPM tables'!$D$1259)/1000</f>
        <v>487.17399999999998</v>
      </c>
      <c r="D32" s="275">
        <f>C32/$B$31</f>
        <v>4.7733423213869301E-2</v>
      </c>
      <c r="E32" s="276">
        <v>375.10300000000001</v>
      </c>
      <c r="F32" s="263">
        <f>E32/$B$31</f>
        <v>3.6752680249340107E-2</v>
      </c>
      <c r="G32" s="277">
        <f t="shared" si="2"/>
        <v>-112.07099999999997</v>
      </c>
      <c r="H32" s="278">
        <f t="shared" ref="H32:H35" si="28">ROUND((F32-D32)*100,2)</f>
        <v>-1.1000000000000001</v>
      </c>
      <c r="I32" s="263">
        <f t="shared" ref="I32:I35" si="29">(E32-C32)/C32</f>
        <v>-0.23004306469557073</v>
      </c>
      <c r="J32" s="163">
        <v>375.10300000000001</v>
      </c>
      <c r="K32" s="268">
        <f>J32/$B$31</f>
        <v>3.6752680249340107E-2</v>
      </c>
      <c r="L32" s="266">
        <f t="shared" si="6"/>
        <v>-112.07099999999997</v>
      </c>
      <c r="M32" s="267">
        <f t="shared" si="7"/>
        <v>-1.1000000000000001</v>
      </c>
      <c r="N32" s="268">
        <f t="shared" si="8"/>
        <v>-0.23004306469557073</v>
      </c>
      <c r="O32" s="279">
        <v>391.81400000000002</v>
      </c>
      <c r="P32" s="273">
        <f>O32/$B$31</f>
        <v>3.8390027963559198E-2</v>
      </c>
      <c r="Q32" s="271">
        <f>O32-C32</f>
        <v>-95.359999999999957</v>
      </c>
      <c r="R32" s="272">
        <f>ROUND((P32-D32)*100,2)</f>
        <v>-0.93</v>
      </c>
      <c r="S32" s="387">
        <f>(O32-C32)/C32</f>
        <v>-0.1957411520319228</v>
      </c>
    </row>
    <row r="33" spans="1:19" x14ac:dyDescent="0.3">
      <c r="A33" s="9" t="s">
        <v>1</v>
      </c>
      <c r="B33" s="242"/>
      <c r="C33" s="274">
        <f>('[2]SPM tables'!$E$1033+'[2]SPM tables'!$E$1259)/1000</f>
        <v>1427.951</v>
      </c>
      <c r="D33" s="275">
        <f t="shared" ref="D33:D35" si="30">C33/$B$31</f>
        <v>0.13991097515809112</v>
      </c>
      <c r="E33" s="276">
        <v>1292.0239999999999</v>
      </c>
      <c r="F33" s="263">
        <f t="shared" ref="F33:F35" si="31">E33/$B$31</f>
        <v>0.12659281569721756</v>
      </c>
      <c r="G33" s="277">
        <f t="shared" si="2"/>
        <v>-135.92700000000013</v>
      </c>
      <c r="H33" s="278">
        <f t="shared" si="28"/>
        <v>-1.33</v>
      </c>
      <c r="I33" s="263">
        <f t="shared" si="29"/>
        <v>-9.5190241121719255E-2</v>
      </c>
      <c r="J33" s="163">
        <v>1292.0239999999999</v>
      </c>
      <c r="K33" s="268">
        <f t="shared" ref="K33:K35" si="32">J33/$B$31</f>
        <v>0.12659281569721756</v>
      </c>
      <c r="L33" s="266">
        <f t="shared" si="6"/>
        <v>-135.92700000000013</v>
      </c>
      <c r="M33" s="267">
        <f t="shared" si="7"/>
        <v>-1.33</v>
      </c>
      <c r="N33" s="268">
        <f t="shared" si="8"/>
        <v>-9.5190241121719255E-2</v>
      </c>
      <c r="O33" s="279">
        <v>1312.367</v>
      </c>
      <c r="P33" s="273">
        <f t="shared" ref="P33:P35" si="33">O33/$B$31</f>
        <v>0.12858602762650717</v>
      </c>
      <c r="Q33" s="271">
        <f>O33-C33</f>
        <v>-115.58400000000006</v>
      </c>
      <c r="R33" s="272">
        <f>ROUND((P33-D33)*100,2)</f>
        <v>-1.1299999999999999</v>
      </c>
      <c r="S33" s="387">
        <f>(O33-C33)/C33</f>
        <v>-8.094395395920452E-2</v>
      </c>
    </row>
    <row r="34" spans="1:19" x14ac:dyDescent="0.3">
      <c r="A34" s="9" t="s">
        <v>2</v>
      </c>
      <c r="B34" s="242"/>
      <c r="C34" s="274">
        <f>('[2]SPM tables'!$F$1033+'[2]SPM tables'!$F$1259)/1000</f>
        <v>2817.8789999999999</v>
      </c>
      <c r="D34" s="275">
        <f t="shared" si="30"/>
        <v>0.27609644782454484</v>
      </c>
      <c r="E34" s="276">
        <v>2786.9630000000002</v>
      </c>
      <c r="F34" s="263">
        <f t="shared" si="31"/>
        <v>0.27306729086608655</v>
      </c>
      <c r="G34" s="277">
        <f t="shared" si="2"/>
        <v>-30.915999999999713</v>
      </c>
      <c r="H34" s="278">
        <f t="shared" si="28"/>
        <v>-0.3</v>
      </c>
      <c r="I34" s="263">
        <f t="shared" si="29"/>
        <v>-1.0971372440051442E-2</v>
      </c>
      <c r="J34" s="163">
        <v>2786.9630000000002</v>
      </c>
      <c r="K34" s="268">
        <f t="shared" si="32"/>
        <v>0.27306729086608655</v>
      </c>
      <c r="L34" s="266">
        <f t="shared" si="6"/>
        <v>-30.915999999999713</v>
      </c>
      <c r="M34" s="267">
        <f t="shared" si="7"/>
        <v>-0.3</v>
      </c>
      <c r="N34" s="268">
        <f t="shared" si="8"/>
        <v>-1.0971372440051442E-2</v>
      </c>
      <c r="O34" s="279">
        <v>2789.9580000000001</v>
      </c>
      <c r="P34" s="273">
        <f t="shared" si="33"/>
        <v>0.27336074167119012</v>
      </c>
      <c r="Q34" s="271">
        <f>O34-C34</f>
        <v>-27.920999999999822</v>
      </c>
      <c r="R34" s="272">
        <f>ROUND((P34-D34)*100,2)</f>
        <v>-0.27</v>
      </c>
      <c r="S34" s="387">
        <f>(O34-C34)/C34</f>
        <v>-9.9085162989609645E-3</v>
      </c>
    </row>
    <row r="35" spans="1:19" x14ac:dyDescent="0.3">
      <c r="A35" s="9" t="s">
        <v>3</v>
      </c>
      <c r="B35" s="242"/>
      <c r="C35" s="274">
        <f>('[2]SPM tables'!$G$1033+'[2]SPM tables'!$G$1259)/1000</f>
        <v>3923.45</v>
      </c>
      <c r="D35" s="275">
        <f t="shared" si="30"/>
        <v>0.38442055468570879</v>
      </c>
      <c r="E35" s="276">
        <v>3914.36</v>
      </c>
      <c r="F35" s="263">
        <f t="shared" si="31"/>
        <v>0.38352991434567824</v>
      </c>
      <c r="G35" s="277">
        <f t="shared" si="2"/>
        <v>-9.0899999999996908</v>
      </c>
      <c r="H35" s="278">
        <f t="shared" si="28"/>
        <v>-0.09</v>
      </c>
      <c r="I35" s="263">
        <f t="shared" si="29"/>
        <v>-2.3168384967311145E-3</v>
      </c>
      <c r="J35" s="163">
        <v>3914.36</v>
      </c>
      <c r="K35" s="268">
        <f t="shared" si="32"/>
        <v>0.38352991434567824</v>
      </c>
      <c r="L35" s="266">
        <f t="shared" si="6"/>
        <v>-9.0899999999996908</v>
      </c>
      <c r="M35" s="267">
        <f t="shared" si="7"/>
        <v>-0.09</v>
      </c>
      <c r="N35" s="268">
        <f t="shared" si="8"/>
        <v>-2.3168384967311145E-3</v>
      </c>
      <c r="O35" s="279">
        <v>3916.12</v>
      </c>
      <c r="P35" s="273">
        <f t="shared" si="33"/>
        <v>0.38370235956002957</v>
      </c>
      <c r="Q35" s="271">
        <f>O35-C35</f>
        <v>-7.3299999999999272</v>
      </c>
      <c r="R35" s="272">
        <f>ROUND((P35-D35)*100,2)</f>
        <v>-7.0000000000000007E-2</v>
      </c>
      <c r="S35" s="387">
        <f>(O35-C35)/C35</f>
        <v>-1.8682537052848711E-3</v>
      </c>
    </row>
    <row r="36" spans="1:19" x14ac:dyDescent="0.3">
      <c r="A36" s="8" t="s">
        <v>20</v>
      </c>
      <c r="B36" s="242"/>
      <c r="C36" s="258"/>
      <c r="D36" s="275"/>
      <c r="E36" s="276"/>
      <c r="F36" s="263"/>
      <c r="G36" s="277"/>
      <c r="H36" s="262"/>
      <c r="I36" s="263"/>
      <c r="J36" s="163"/>
      <c r="K36" s="268"/>
      <c r="L36" s="266"/>
      <c r="M36" s="267"/>
      <c r="N36" s="268"/>
      <c r="O36" s="279"/>
      <c r="P36" s="273"/>
      <c r="Q36" s="271"/>
      <c r="R36" s="272"/>
      <c r="S36" s="387"/>
    </row>
    <row r="37" spans="1:19" x14ac:dyDescent="0.3">
      <c r="A37" s="4" t="s">
        <v>22</v>
      </c>
      <c r="B37" s="242">
        <f>'[1]ATTIS Summary Tables'!$H$2024/1000</f>
        <v>8135.46</v>
      </c>
      <c r="C37" s="274"/>
      <c r="D37" s="275"/>
      <c r="E37" s="276"/>
      <c r="F37" s="263"/>
      <c r="G37" s="277"/>
      <c r="H37" s="278"/>
      <c r="I37" s="263"/>
      <c r="J37" s="163"/>
      <c r="K37" s="268"/>
      <c r="L37" s="266"/>
      <c r="M37" s="267"/>
      <c r="N37" s="268"/>
      <c r="O37" s="279"/>
      <c r="P37" s="273"/>
      <c r="Q37" s="271"/>
      <c r="R37" s="272"/>
      <c r="S37" s="387"/>
    </row>
    <row r="38" spans="1:19" x14ac:dyDescent="0.3">
      <c r="A38" s="9" t="s">
        <v>0</v>
      </c>
      <c r="B38" s="242"/>
      <c r="C38" s="274">
        <f>'[2]SPM tables'!$C$2024/1000</f>
        <v>345.03500000000003</v>
      </c>
      <c r="D38" s="275">
        <f>C38/$B$37</f>
        <v>4.2411246567495876E-2</v>
      </c>
      <c r="E38" s="276">
        <v>198.12299999999999</v>
      </c>
      <c r="F38" s="263">
        <f>E38/$B$37</f>
        <v>2.4353017530662064E-2</v>
      </c>
      <c r="G38" s="277">
        <f t="shared" si="2"/>
        <v>-146.91200000000003</v>
      </c>
      <c r="H38" s="278">
        <f t="shared" ref="H38:H41" si="34">ROUND((F38-D38)*100,2)</f>
        <v>-1.81</v>
      </c>
      <c r="I38" s="263">
        <f t="shared" ref="I38:I41" si="35">(E38-C38)/C38</f>
        <v>-0.42578868810410547</v>
      </c>
      <c r="J38" s="163">
        <v>200.19200000000001</v>
      </c>
      <c r="K38" s="268">
        <f>J38/$B$37</f>
        <v>2.4607336278464894E-2</v>
      </c>
      <c r="L38" s="266">
        <f t="shared" si="6"/>
        <v>-144.84300000000002</v>
      </c>
      <c r="M38" s="267">
        <f t="shared" si="7"/>
        <v>-1.78</v>
      </c>
      <c r="N38" s="268">
        <f t="shared" si="8"/>
        <v>-0.41979219499471071</v>
      </c>
      <c r="O38" s="279">
        <v>216.55799999999999</v>
      </c>
      <c r="P38" s="273">
        <f>O38/$B$37</f>
        <v>2.6619023386507953E-2</v>
      </c>
      <c r="Q38" s="271">
        <f>O38-C38</f>
        <v>-128.47700000000003</v>
      </c>
      <c r="R38" s="272">
        <f>ROUND((P38-D38)*100,2)</f>
        <v>-1.58</v>
      </c>
      <c r="S38" s="387">
        <f>(O38-C38)/C38</f>
        <v>-0.37235932586549197</v>
      </c>
    </row>
    <row r="39" spans="1:19" x14ac:dyDescent="0.3">
      <c r="A39" s="9" t="s">
        <v>1</v>
      </c>
      <c r="B39" s="242"/>
      <c r="C39" s="274">
        <f>'[2]SPM tables'!$D$2024/1000</f>
        <v>1459.43</v>
      </c>
      <c r="D39" s="275">
        <f t="shared" ref="D39:D41" si="36">C39/$B$37</f>
        <v>0.17939120836437031</v>
      </c>
      <c r="E39" s="276">
        <v>1042.33</v>
      </c>
      <c r="F39" s="263">
        <f t="shared" ref="F39:F41" si="37">E39/$B$37</f>
        <v>0.12812182716158643</v>
      </c>
      <c r="G39" s="277">
        <f t="shared" si="2"/>
        <v>-417.10000000000014</v>
      </c>
      <c r="H39" s="278">
        <f t="shared" si="34"/>
        <v>-5.13</v>
      </c>
      <c r="I39" s="263">
        <f t="shared" si="35"/>
        <v>-0.28579650959621228</v>
      </c>
      <c r="J39" s="163">
        <v>1097.8800000000001</v>
      </c>
      <c r="K39" s="268">
        <f t="shared" ref="K39:K41" si="38">J39/$B$37</f>
        <v>0.13494995980559182</v>
      </c>
      <c r="L39" s="266">
        <f t="shared" si="6"/>
        <v>-361.54999999999995</v>
      </c>
      <c r="M39" s="267">
        <f t="shared" si="7"/>
        <v>-4.4400000000000004</v>
      </c>
      <c r="N39" s="268">
        <f t="shared" si="8"/>
        <v>-0.24773370425440064</v>
      </c>
      <c r="O39" s="279">
        <v>1086.8</v>
      </c>
      <c r="P39" s="273">
        <f t="shared" ref="P39:P41" si="39">O39/$B$37</f>
        <v>0.13358802083717453</v>
      </c>
      <c r="Q39" s="271">
        <f>O39-C39</f>
        <v>-372.63000000000011</v>
      </c>
      <c r="R39" s="272">
        <f>ROUND((P39-D39)*100,2)</f>
        <v>-4.58</v>
      </c>
      <c r="S39" s="387">
        <f>(O39-C39)/C39</f>
        <v>-0.25532570935228144</v>
      </c>
    </row>
    <row r="40" spans="1:19" x14ac:dyDescent="0.3">
      <c r="A40" s="9" t="s">
        <v>2</v>
      </c>
      <c r="B40" s="242"/>
      <c r="C40" s="274">
        <f>'[2]SPM tables'!$E$2024/1000</f>
        <v>3377.03</v>
      </c>
      <c r="D40" s="275">
        <f t="shared" si="36"/>
        <v>0.41510006809694844</v>
      </c>
      <c r="E40" s="276">
        <v>3136.96</v>
      </c>
      <c r="F40" s="263">
        <f t="shared" si="37"/>
        <v>0.38559098071897596</v>
      </c>
      <c r="G40" s="277">
        <f t="shared" si="2"/>
        <v>-240.07000000000016</v>
      </c>
      <c r="H40" s="278">
        <f t="shared" si="34"/>
        <v>-2.95</v>
      </c>
      <c r="I40" s="263">
        <f t="shared" si="35"/>
        <v>-7.1089093078829671E-2</v>
      </c>
      <c r="J40" s="163">
        <v>3235.87</v>
      </c>
      <c r="K40" s="268">
        <f t="shared" si="38"/>
        <v>0.39774886730436876</v>
      </c>
      <c r="L40" s="266">
        <f t="shared" si="6"/>
        <v>-141.16000000000031</v>
      </c>
      <c r="M40" s="267">
        <f t="shared" si="7"/>
        <v>-1.74</v>
      </c>
      <c r="N40" s="268">
        <f t="shared" si="8"/>
        <v>-4.1800043233255348E-2</v>
      </c>
      <c r="O40" s="279">
        <v>3138.37</v>
      </c>
      <c r="P40" s="273">
        <f t="shared" si="39"/>
        <v>0.38576429605701457</v>
      </c>
      <c r="Q40" s="271">
        <f>O40-C40</f>
        <v>-238.66000000000031</v>
      </c>
      <c r="R40" s="272">
        <f>ROUND((P40-D40)*100,2)</f>
        <v>-2.93</v>
      </c>
      <c r="S40" s="387">
        <f>(O40-C40)/C40</f>
        <v>-7.0671566435595856E-2</v>
      </c>
    </row>
    <row r="41" spans="1:19" x14ac:dyDescent="0.3">
      <c r="A41" s="9" t="s">
        <v>3</v>
      </c>
      <c r="B41" s="242"/>
      <c r="C41" s="274">
        <f>'[2]SPM tables'!$F$2024/1000</f>
        <v>4486.8900000000003</v>
      </c>
      <c r="D41" s="275">
        <f t="shared" si="36"/>
        <v>0.55152259368247158</v>
      </c>
      <c r="E41" s="276">
        <v>4418.3599999999997</v>
      </c>
      <c r="F41" s="263">
        <f t="shared" si="37"/>
        <v>0.5430989765790748</v>
      </c>
      <c r="G41" s="277">
        <f t="shared" si="2"/>
        <v>-68.530000000000655</v>
      </c>
      <c r="H41" s="278">
        <f t="shared" si="34"/>
        <v>-0.84</v>
      </c>
      <c r="I41" s="263">
        <f t="shared" si="35"/>
        <v>-1.5273385351546539E-2</v>
      </c>
      <c r="J41" s="163">
        <v>4459.09</v>
      </c>
      <c r="K41" s="268">
        <f t="shared" si="38"/>
        <v>0.54810545439348235</v>
      </c>
      <c r="L41" s="266">
        <f t="shared" si="6"/>
        <v>-27.800000000000182</v>
      </c>
      <c r="M41" s="267">
        <f t="shared" si="7"/>
        <v>-0.34</v>
      </c>
      <c r="N41" s="268">
        <f t="shared" si="8"/>
        <v>-6.1958282908652048E-3</v>
      </c>
      <c r="O41" s="279">
        <v>4414.45</v>
      </c>
      <c r="P41" s="273">
        <f t="shared" si="39"/>
        <v>0.54261836454238599</v>
      </c>
      <c r="Q41" s="271">
        <f>O41-C41</f>
        <v>-72.440000000000509</v>
      </c>
      <c r="R41" s="272">
        <f>ROUND((P41-D41)*100,2)</f>
        <v>-0.89</v>
      </c>
      <c r="S41" s="387">
        <f>(O41-C41)/C41</f>
        <v>-1.6144812999650204E-2</v>
      </c>
    </row>
    <row r="42" spans="1:19" x14ac:dyDescent="0.3">
      <c r="A42" s="4" t="s">
        <v>21</v>
      </c>
      <c r="B42" s="242">
        <f>('[1]ATTIS Summary Tables'!$H$2044-'[1]ATTIS Summary Tables'!$H$2024)/1000</f>
        <v>10744.44</v>
      </c>
      <c r="C42" s="274"/>
      <c r="D42" s="275"/>
      <c r="E42" s="276"/>
      <c r="F42" s="263"/>
      <c r="G42" s="277"/>
      <c r="H42" s="301"/>
      <c r="I42" s="263"/>
      <c r="J42" s="163"/>
      <c r="K42" s="268"/>
      <c r="L42" s="266"/>
      <c r="M42" s="267"/>
      <c r="N42" s="268"/>
      <c r="O42" s="279"/>
      <c r="P42" s="273"/>
      <c r="Q42" s="271"/>
      <c r="R42" s="272"/>
      <c r="S42" s="387"/>
    </row>
    <row r="43" spans="1:19" x14ac:dyDescent="0.3">
      <c r="A43" s="9" t="s">
        <v>0</v>
      </c>
      <c r="B43" s="242"/>
      <c r="C43" s="274">
        <f>('[2]SPM tables'!$C$2044-'[2]SPM tables'!$C$2024)/1000</f>
        <v>312.01400000000001</v>
      </c>
      <c r="D43" s="280">
        <f>C43/$B$42</f>
        <v>2.9039577679246194E-2</v>
      </c>
      <c r="E43" s="276">
        <v>237.92099999999999</v>
      </c>
      <c r="F43" s="263">
        <f>E43/$B$42</f>
        <v>2.2143638942560058E-2</v>
      </c>
      <c r="G43" s="277">
        <f t="shared" si="2"/>
        <v>-74.093000000000018</v>
      </c>
      <c r="H43" s="278">
        <f t="shared" ref="H43:H46" si="40">ROUND((F43-D43)*100,2)</f>
        <v>-0.69</v>
      </c>
      <c r="I43" s="263">
        <f t="shared" ref="I43:I46" si="41">(E43-C43)/C43</f>
        <v>-0.23746690853615549</v>
      </c>
      <c r="J43" s="163">
        <v>243.26599999999999</v>
      </c>
      <c r="K43" s="268">
        <f>J43/$B$42</f>
        <v>2.2641105539237035E-2</v>
      </c>
      <c r="L43" s="266">
        <f t="shared" si="6"/>
        <v>-68.748000000000019</v>
      </c>
      <c r="M43" s="267">
        <f t="shared" si="7"/>
        <v>-0.64</v>
      </c>
      <c r="N43" s="268">
        <f t="shared" si="8"/>
        <v>-0.22033626696237996</v>
      </c>
      <c r="O43" s="279">
        <v>248.63300000000001</v>
      </c>
      <c r="P43" s="273">
        <f>O43/$B$42</f>
        <v>2.3140619706564513E-2</v>
      </c>
      <c r="Q43" s="271">
        <f>O43-C43</f>
        <v>-63.381</v>
      </c>
      <c r="R43" s="272">
        <f>ROUND((P43-D43)*100,2)</f>
        <v>-0.59</v>
      </c>
      <c r="S43" s="387">
        <f>(O43-C43)/C43</f>
        <v>-0.20313511573198639</v>
      </c>
    </row>
    <row r="44" spans="1:19" x14ac:dyDescent="0.3">
      <c r="A44" s="9" t="s">
        <v>1</v>
      </c>
      <c r="B44" s="242"/>
      <c r="C44" s="274">
        <f>('[2]SPM tables'!$D$2044-'[2]SPM tables'!$D$2024)/1000</f>
        <v>1024.18</v>
      </c>
      <c r="D44" s="280">
        <f t="shared" ref="D44:D46" si="42">C44/$B$42</f>
        <v>9.5321859491979105E-2</v>
      </c>
      <c r="E44" s="276">
        <v>811.03</v>
      </c>
      <c r="F44" s="263">
        <f t="shared" ref="F44:F46" si="43">E44/$B$42</f>
        <v>7.5483692030482732E-2</v>
      </c>
      <c r="G44" s="277">
        <f t="shared" si="2"/>
        <v>-213.15000000000009</v>
      </c>
      <c r="H44" s="278">
        <f>ROUND((F44-D44)*100,2)</f>
        <v>-1.98</v>
      </c>
      <c r="I44" s="263">
        <f t="shared" si="41"/>
        <v>-0.20811771368314172</v>
      </c>
      <c r="J44" s="163">
        <v>852.4</v>
      </c>
      <c r="K44" s="268">
        <f t="shared" ref="K44:K46" si="44">J44/$B$42</f>
        <v>7.9334055567344589E-2</v>
      </c>
      <c r="L44" s="266">
        <f t="shared" si="6"/>
        <v>-171.78000000000009</v>
      </c>
      <c r="M44" s="267">
        <f t="shared" si="7"/>
        <v>-1.6</v>
      </c>
      <c r="N44" s="268">
        <f t="shared" si="8"/>
        <v>-0.16772442344119204</v>
      </c>
      <c r="O44" s="279">
        <v>828.41</v>
      </c>
      <c r="P44" s="273">
        <f t="shared" ref="P44:P46" si="45">O44/$B$42</f>
        <v>7.7101272844373459E-2</v>
      </c>
      <c r="Q44" s="271">
        <f>O44-C44</f>
        <v>-195.7700000000001</v>
      </c>
      <c r="R44" s="272">
        <f>ROUND((P44-D44)*100,2)</f>
        <v>-1.82</v>
      </c>
      <c r="S44" s="387">
        <f>(O44-C44)/C44</f>
        <v>-0.19114804038352642</v>
      </c>
    </row>
    <row r="45" spans="1:19" x14ac:dyDescent="0.3">
      <c r="A45" s="9" t="s">
        <v>2</v>
      </c>
      <c r="B45" s="242"/>
      <c r="C45" s="274">
        <f>('[2]SPM tables'!$E$2044-'[2]SPM tables'!$E$2024)/1000</f>
        <v>2405.3000000000002</v>
      </c>
      <c r="D45" s="280">
        <f t="shared" si="42"/>
        <v>0.22386462207430077</v>
      </c>
      <c r="E45" s="276">
        <v>2177.59</v>
      </c>
      <c r="F45" s="263">
        <f t="shared" si="43"/>
        <v>0.20267133512774979</v>
      </c>
      <c r="G45" s="277">
        <f t="shared" si="2"/>
        <v>-227.71000000000004</v>
      </c>
      <c r="H45" s="278">
        <f t="shared" si="40"/>
        <v>-2.12</v>
      </c>
      <c r="I45" s="263">
        <f t="shared" si="41"/>
        <v>-9.467010352139027E-2</v>
      </c>
      <c r="J45" s="163">
        <v>2295.9899999999998</v>
      </c>
      <c r="K45" s="268">
        <f t="shared" si="44"/>
        <v>0.21369098808313877</v>
      </c>
      <c r="L45" s="266">
        <f t="shared" si="6"/>
        <v>-109.3100000000004</v>
      </c>
      <c r="M45" s="267">
        <f t="shared" si="7"/>
        <v>-1.02</v>
      </c>
      <c r="N45" s="268">
        <f t="shared" si="8"/>
        <v>-4.5445474576976008E-2</v>
      </c>
      <c r="O45" s="279">
        <v>2187.56</v>
      </c>
      <c r="P45" s="273">
        <f t="shared" si="45"/>
        <v>0.20359925691799663</v>
      </c>
      <c r="Q45" s="271">
        <f>O45-C45</f>
        <v>-217.74000000000024</v>
      </c>
      <c r="R45" s="272">
        <f>ROUND((P45-D45)*100,2)</f>
        <v>-2.0299999999999998</v>
      </c>
      <c r="S45" s="387">
        <f>(O45-C45)/C45</f>
        <v>-9.0525090425310858E-2</v>
      </c>
    </row>
    <row r="46" spans="1:19" ht="13.5" thickBot="1" x14ac:dyDescent="0.35">
      <c r="A46" s="12" t="s">
        <v>3</v>
      </c>
      <c r="B46" s="302"/>
      <c r="C46" s="281">
        <f>('[2]SPM tables'!$F$2044-'[2]SPM tables'!$F$2024)/1000</f>
        <v>3763.91</v>
      </c>
      <c r="D46" s="282">
        <f t="shared" si="42"/>
        <v>0.3503123475955936</v>
      </c>
      <c r="E46" s="283">
        <v>3651.41</v>
      </c>
      <c r="F46" s="284">
        <f t="shared" si="43"/>
        <v>0.33984181586010992</v>
      </c>
      <c r="G46" s="285">
        <f t="shared" si="2"/>
        <v>-112.5</v>
      </c>
      <c r="H46" s="286">
        <f t="shared" si="40"/>
        <v>-1.05</v>
      </c>
      <c r="I46" s="284">
        <f t="shared" si="41"/>
        <v>-2.9889131249153142E-2</v>
      </c>
      <c r="J46" s="287">
        <v>3717.65</v>
      </c>
      <c r="K46" s="288">
        <f t="shared" si="44"/>
        <v>0.34600686494596272</v>
      </c>
      <c r="L46" s="289">
        <f t="shared" si="6"/>
        <v>-46.259999999999764</v>
      </c>
      <c r="M46" s="290">
        <f t="shared" si="7"/>
        <v>-0.43</v>
      </c>
      <c r="N46" s="288">
        <f t="shared" si="8"/>
        <v>-1.2290410769651709E-2</v>
      </c>
      <c r="O46" s="291">
        <v>3647.92</v>
      </c>
      <c r="P46" s="292">
        <f t="shared" si="45"/>
        <v>0.33951699669782698</v>
      </c>
      <c r="Q46" s="293">
        <f>O46-C46</f>
        <v>-115.98999999999978</v>
      </c>
      <c r="R46" s="294">
        <f>ROUND((P46-D46)*100,2)</f>
        <v>-1.08</v>
      </c>
      <c r="S46" s="410">
        <f>(O46-C46)/C46</f>
        <v>-3.081635852079348E-2</v>
      </c>
    </row>
    <row r="47" spans="1:19" ht="14.25" customHeight="1" x14ac:dyDescent="0.3">
      <c r="A47" s="459" t="s">
        <v>76</v>
      </c>
      <c r="B47" s="448"/>
      <c r="C47" s="448"/>
      <c r="D47" s="448"/>
      <c r="E47" s="448"/>
      <c r="F47" s="448"/>
      <c r="G47" s="448"/>
      <c r="H47" s="448"/>
      <c r="I47" s="448"/>
      <c r="S47" s="411"/>
    </row>
    <row r="48" spans="1:19" ht="28.5" customHeight="1" x14ac:dyDescent="0.3">
      <c r="A48" s="448" t="s">
        <v>123</v>
      </c>
      <c r="B48" s="448"/>
      <c r="C48" s="448"/>
      <c r="D48" s="448"/>
      <c r="E48" s="448"/>
      <c r="F48" s="448"/>
      <c r="G48" s="448"/>
      <c r="H48" s="448"/>
      <c r="I48" s="448"/>
    </row>
    <row r="49" spans="1:9" ht="28" customHeight="1" x14ac:dyDescent="0.3">
      <c r="A49" s="448" t="s">
        <v>120</v>
      </c>
      <c r="B49" s="448"/>
      <c r="C49" s="448"/>
      <c r="D49" s="448"/>
      <c r="E49" s="448"/>
      <c r="F49" s="448"/>
      <c r="G49" s="448"/>
      <c r="H49" s="448"/>
      <c r="I49" s="448"/>
    </row>
    <row r="50" spans="1:9" x14ac:dyDescent="0.3">
      <c r="C50" s="14"/>
    </row>
    <row r="51" spans="1:9" x14ac:dyDescent="0.3">
      <c r="C51" s="14"/>
    </row>
    <row r="52" spans="1:9" x14ac:dyDescent="0.3">
      <c r="C52" s="14"/>
    </row>
  </sheetData>
  <mergeCells count="9">
    <mergeCell ref="O6:S6"/>
    <mergeCell ref="J6:N6"/>
    <mergeCell ref="A49:I49"/>
    <mergeCell ref="A2:I2"/>
    <mergeCell ref="E6:I6"/>
    <mergeCell ref="E5:G5"/>
    <mergeCell ref="A47:I47"/>
    <mergeCell ref="A48:I48"/>
    <mergeCell ref="B6:D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18DA-6FE4-4D76-B7A2-C2E22CC10B43}">
  <sheetPr>
    <pageSetUpPr fitToPage="1"/>
  </sheetPr>
  <dimension ref="A1:S64"/>
  <sheetViews>
    <sheetView zoomScaleNormal="100" workbookViewId="0">
      <selection activeCell="D24" sqref="D24"/>
    </sheetView>
  </sheetViews>
  <sheetFormatPr defaultColWidth="9.1796875" defaultRowHeight="13" x14ac:dyDescent="0.3"/>
  <cols>
    <col min="1" max="1" width="52.54296875" style="1" customWidth="1"/>
    <col min="2" max="9" width="13.54296875" style="13" customWidth="1"/>
    <col min="10" max="24" width="13.54296875" style="1" customWidth="1"/>
    <col min="25" max="16384" width="9.1796875" style="1"/>
  </cols>
  <sheetData>
    <row r="1" spans="1:19" s="20" customFormat="1" x14ac:dyDescent="0.3">
      <c r="A1" s="18" t="s">
        <v>70</v>
      </c>
      <c r="B1" s="19"/>
      <c r="C1" s="15"/>
      <c r="D1" s="15"/>
      <c r="E1" s="15"/>
      <c r="F1" s="15"/>
      <c r="G1" s="15"/>
      <c r="H1" s="15"/>
      <c r="I1" s="15"/>
    </row>
    <row r="2" spans="1:19" s="20" customFormat="1" x14ac:dyDescent="0.3">
      <c r="A2" s="449" t="s">
        <v>202</v>
      </c>
      <c r="B2" s="450"/>
      <c r="C2" s="450"/>
      <c r="D2" s="450"/>
      <c r="E2" s="450"/>
      <c r="F2" s="450"/>
      <c r="G2" s="450"/>
      <c r="H2" s="450"/>
      <c r="I2" s="450"/>
    </row>
    <row r="3" spans="1:19" s="20" customFormat="1" x14ac:dyDescent="0.3">
      <c r="A3" s="24" t="s">
        <v>118</v>
      </c>
      <c r="B3" s="19"/>
      <c r="C3" s="15"/>
      <c r="D3" s="15"/>
      <c r="E3" s="15"/>
      <c r="F3" s="15"/>
      <c r="G3" s="15"/>
      <c r="H3" s="15"/>
      <c r="I3" s="15"/>
    </row>
    <row r="4" spans="1:19" s="20" customFormat="1" x14ac:dyDescent="0.3">
      <c r="A4" s="23" t="s">
        <v>119</v>
      </c>
      <c r="B4" s="19"/>
      <c r="C4" s="15"/>
      <c r="D4" s="15"/>
      <c r="E4" s="15"/>
      <c r="F4" s="15"/>
      <c r="G4" s="15"/>
      <c r="H4" s="15"/>
      <c r="I4" s="15"/>
    </row>
    <row r="5" spans="1:19" s="20" customFormat="1" x14ac:dyDescent="0.3">
      <c r="A5" s="20" t="s">
        <v>100</v>
      </c>
      <c r="B5" s="15"/>
      <c r="C5" s="15"/>
      <c r="D5" s="15"/>
      <c r="E5" s="451"/>
      <c r="F5" s="451"/>
      <c r="G5" s="451"/>
      <c r="H5" s="15"/>
      <c r="I5" s="15"/>
    </row>
    <row r="6" spans="1:19" s="18" customFormat="1" ht="15" customHeight="1" x14ac:dyDescent="0.3">
      <c r="B6" s="456" t="s">
        <v>129</v>
      </c>
      <c r="C6" s="456"/>
      <c r="D6" s="456"/>
      <c r="E6" s="452" t="s">
        <v>195</v>
      </c>
      <c r="F6" s="453"/>
      <c r="G6" s="453"/>
      <c r="H6" s="453"/>
      <c r="I6" s="453"/>
      <c r="J6" s="446" t="s">
        <v>130</v>
      </c>
      <c r="K6" s="457"/>
      <c r="L6" s="457"/>
      <c r="M6" s="457"/>
      <c r="N6" s="457"/>
      <c r="O6" s="444" t="s">
        <v>199</v>
      </c>
      <c r="P6" s="445"/>
      <c r="Q6" s="445"/>
      <c r="R6" s="445"/>
      <c r="S6" s="445"/>
    </row>
    <row r="7" spans="1:19" s="20" customFormat="1" ht="58.9" customHeight="1" thickBot="1" x14ac:dyDescent="0.35">
      <c r="A7" s="21"/>
      <c r="B7" s="234" t="s">
        <v>63</v>
      </c>
      <c r="C7" s="235" t="s">
        <v>88</v>
      </c>
      <c r="D7" s="235" t="s">
        <v>87</v>
      </c>
      <c r="E7" s="236" t="s">
        <v>89</v>
      </c>
      <c r="F7" s="237" t="s">
        <v>86</v>
      </c>
      <c r="G7" s="237" t="s">
        <v>64</v>
      </c>
      <c r="H7" s="237" t="s">
        <v>65</v>
      </c>
      <c r="I7" s="237" t="s">
        <v>68</v>
      </c>
      <c r="J7" s="238" t="s">
        <v>89</v>
      </c>
      <c r="K7" s="239" t="s">
        <v>86</v>
      </c>
      <c r="L7" s="239" t="s">
        <v>64</v>
      </c>
      <c r="M7" s="239" t="s">
        <v>65</v>
      </c>
      <c r="N7" s="239" t="s">
        <v>68</v>
      </c>
      <c r="O7" s="240" t="s">
        <v>89</v>
      </c>
      <c r="P7" s="241" t="s">
        <v>86</v>
      </c>
      <c r="Q7" s="241" t="s">
        <v>64</v>
      </c>
      <c r="R7" s="241" t="s">
        <v>65</v>
      </c>
      <c r="S7" s="307" t="s">
        <v>68</v>
      </c>
    </row>
    <row r="8" spans="1:19" ht="14.5" x14ac:dyDescent="0.3">
      <c r="A8" s="1" t="s">
        <v>56</v>
      </c>
      <c r="B8" s="295">
        <f>'[1]ATTIS Summary Tables'!$J$615/1000</f>
        <v>18879.900000000001</v>
      </c>
      <c r="C8" s="244"/>
      <c r="D8" s="245"/>
      <c r="E8" s="246"/>
      <c r="F8" s="247"/>
      <c r="G8" s="248"/>
      <c r="H8" s="296"/>
      <c r="I8" s="247"/>
      <c r="J8" s="250"/>
      <c r="K8" s="251"/>
      <c r="L8" s="252"/>
      <c r="M8" s="297"/>
      <c r="N8" s="251"/>
      <c r="O8" s="254"/>
      <c r="P8" s="255"/>
      <c r="Q8" s="256"/>
      <c r="R8" s="298"/>
      <c r="S8" s="409"/>
    </row>
    <row r="9" spans="1:19" ht="14.5" x14ac:dyDescent="0.3">
      <c r="A9" s="8" t="s">
        <v>57</v>
      </c>
      <c r="B9" s="243"/>
      <c r="C9" s="258"/>
      <c r="D9" s="275"/>
      <c r="E9" s="260"/>
      <c r="F9" s="263"/>
      <c r="G9" s="277"/>
      <c r="H9" s="262"/>
      <c r="I9" s="263"/>
      <c r="J9" s="264"/>
      <c r="K9" s="268"/>
      <c r="L9" s="266"/>
      <c r="M9" s="299"/>
      <c r="N9" s="268"/>
      <c r="O9" s="269"/>
      <c r="P9" s="273"/>
      <c r="Q9" s="271"/>
      <c r="R9" s="300"/>
      <c r="S9" s="387"/>
    </row>
    <row r="10" spans="1:19" x14ac:dyDescent="0.3">
      <c r="A10" s="4" t="s">
        <v>16</v>
      </c>
      <c r="B10" s="242">
        <f>'[1]ATTIS Summary Tables'!$J$619/1000</f>
        <v>1627.8</v>
      </c>
      <c r="C10" s="274"/>
      <c r="D10" s="275"/>
      <c r="E10" s="276"/>
      <c r="F10" s="263"/>
      <c r="G10" s="277"/>
      <c r="H10" s="301"/>
      <c r="I10" s="263"/>
      <c r="J10" s="163"/>
      <c r="K10" s="268"/>
      <c r="L10" s="266"/>
      <c r="M10" s="306"/>
      <c r="N10" s="268"/>
      <c r="O10" s="279"/>
      <c r="P10" s="273"/>
      <c r="Q10" s="271"/>
      <c r="R10" s="305"/>
      <c r="S10" s="387"/>
    </row>
    <row r="11" spans="1:19" x14ac:dyDescent="0.3">
      <c r="A11" s="9" t="s">
        <v>0</v>
      </c>
      <c r="B11" s="242"/>
      <c r="C11" s="274">
        <f>'[2]SPM tables'!$D$619/1000</f>
        <v>95.665000000000006</v>
      </c>
      <c r="D11" s="275">
        <f>C11/$B$10</f>
        <v>5.8769504853176072E-2</v>
      </c>
      <c r="E11" s="276">
        <v>66.165000000000006</v>
      </c>
      <c r="F11" s="263">
        <f>E11/$B$10</f>
        <v>4.0646885366752677E-2</v>
      </c>
      <c r="G11" s="277">
        <f>E11-C11</f>
        <v>-29.5</v>
      </c>
      <c r="H11" s="278">
        <f>ROUND((F11-D11)*100,2)</f>
        <v>-1.81</v>
      </c>
      <c r="I11" s="263">
        <f>(E11-C11)/C11</f>
        <v>-0.30836774159828567</v>
      </c>
      <c r="J11" s="163">
        <v>67.498999999999995</v>
      </c>
      <c r="K11" s="268">
        <f>J11/$B$10</f>
        <v>4.1466396363189578E-2</v>
      </c>
      <c r="L11" s="266">
        <f>J11-C11</f>
        <v>-28.166000000000011</v>
      </c>
      <c r="M11" s="267">
        <f>ROUND((K11-D11)*100,2)</f>
        <v>-1.73</v>
      </c>
      <c r="N11" s="268">
        <f>(J11-C11)/C11</f>
        <v>-0.29442324779177348</v>
      </c>
      <c r="O11" s="279">
        <v>68.349999999999994</v>
      </c>
      <c r="P11" s="273">
        <f>O11/$B$10</f>
        <v>4.1989187860916571E-2</v>
      </c>
      <c r="Q11" s="271">
        <f>O11-C11</f>
        <v>-27.315000000000012</v>
      </c>
      <c r="R11" s="272">
        <f>ROUND((P11-D11)*100,2)</f>
        <v>-1.68</v>
      </c>
      <c r="S11" s="387">
        <f>(O11-C11)/C11</f>
        <v>-0.28552762243244667</v>
      </c>
    </row>
    <row r="12" spans="1:19" x14ac:dyDescent="0.3">
      <c r="A12" s="9" t="s">
        <v>1</v>
      </c>
      <c r="B12" s="242"/>
      <c r="C12" s="274">
        <f>'[2]SPM tables'!$E$619/1000</f>
        <v>328.16</v>
      </c>
      <c r="D12" s="275">
        <f>C12/$B$10</f>
        <v>0.20159724781914243</v>
      </c>
      <c r="E12" s="276">
        <v>271.52100000000002</v>
      </c>
      <c r="F12" s="263">
        <f>E12/$B$10</f>
        <v>0.16680243273129378</v>
      </c>
      <c r="G12" s="277">
        <f>E12-C12</f>
        <v>-56.63900000000001</v>
      </c>
      <c r="H12" s="278">
        <f>ROUND((F12-D12)*100,2)</f>
        <v>-3.48</v>
      </c>
      <c r="I12" s="263">
        <f>(E12-C12)/C12</f>
        <v>-0.17259568503169187</v>
      </c>
      <c r="J12" s="163">
        <v>280.78100000000001</v>
      </c>
      <c r="K12" s="268">
        <f>J12/$B$10</f>
        <v>0.17249109227177786</v>
      </c>
      <c r="L12" s="266">
        <f>J12-C12</f>
        <v>-47.379000000000019</v>
      </c>
      <c r="M12" s="267">
        <f>ROUND((K12-D12)*100,2)</f>
        <v>-2.91</v>
      </c>
      <c r="N12" s="268">
        <f>(J12-C12)/C12</f>
        <v>-0.14437774256460267</v>
      </c>
      <c r="O12" s="279">
        <v>274.70499999999998</v>
      </c>
      <c r="P12" s="273">
        <f>O12/$B$10</f>
        <v>0.16875844698365891</v>
      </c>
      <c r="Q12" s="271">
        <f>O12-C12</f>
        <v>-53.455000000000041</v>
      </c>
      <c r="R12" s="272">
        <f>ROUND((P12-D12)*100,2)</f>
        <v>-3.28</v>
      </c>
      <c r="S12" s="387">
        <f>(O12-C12)/C12</f>
        <v>-0.16289310092637749</v>
      </c>
    </row>
    <row r="13" spans="1:19" x14ac:dyDescent="0.3">
      <c r="A13" s="9" t="s">
        <v>2</v>
      </c>
      <c r="B13" s="242"/>
      <c r="C13" s="274">
        <f>'[2]SPM tables'!$F$619/1000</f>
        <v>659.56100000000004</v>
      </c>
      <c r="D13" s="275">
        <f>C13/$B$10</f>
        <v>0.40518552647745426</v>
      </c>
      <c r="E13" s="276">
        <v>629.74699999999996</v>
      </c>
      <c r="F13" s="263">
        <f>E13/$B$10</f>
        <v>0.38687000860056514</v>
      </c>
      <c r="G13" s="277">
        <f>E13-C13</f>
        <v>-29.814000000000078</v>
      </c>
      <c r="H13" s="278">
        <f>ROUND((F13-D13)*100,2)</f>
        <v>-1.83</v>
      </c>
      <c r="I13" s="263">
        <f>(E13-C13)/C13</f>
        <v>-4.5202793979632019E-2</v>
      </c>
      <c r="J13" s="163">
        <v>644.19500000000005</v>
      </c>
      <c r="K13" s="268">
        <f>J13/$B$10</f>
        <v>0.39574579186632269</v>
      </c>
      <c r="L13" s="266">
        <f>J13-C13</f>
        <v>-15.365999999999985</v>
      </c>
      <c r="M13" s="267">
        <f>ROUND((K13-D13)*100,2)</f>
        <v>-0.94</v>
      </c>
      <c r="N13" s="268">
        <f>(J13-C13)/C13</f>
        <v>-2.3297314425807444E-2</v>
      </c>
      <c r="O13" s="279">
        <v>632.10199999999998</v>
      </c>
      <c r="P13" s="273">
        <f>O13/$B$10</f>
        <v>0.38831674652905762</v>
      </c>
      <c r="Q13" s="271">
        <f>O13-C13</f>
        <v>-27.45900000000006</v>
      </c>
      <c r="R13" s="272">
        <f>ROUND((P13-D13)*100,2)</f>
        <v>-1.69</v>
      </c>
      <c r="S13" s="387">
        <f>(O13-C13)/C13</f>
        <v>-4.1632237200198402E-2</v>
      </c>
    </row>
    <row r="14" spans="1:19" x14ac:dyDescent="0.3">
      <c r="A14" s="9" t="s">
        <v>3</v>
      </c>
      <c r="B14" s="242"/>
      <c r="C14" s="274">
        <f>'[2]SPM tables'!$G$619/1000</f>
        <v>857.02800000000002</v>
      </c>
      <c r="D14" s="275">
        <f>C14/$B$10</f>
        <v>0.52649465536306672</v>
      </c>
      <c r="E14" s="276">
        <v>845.90300000000002</v>
      </c>
      <c r="F14" s="263">
        <f>E14/$B$10</f>
        <v>0.51966027767539014</v>
      </c>
      <c r="G14" s="277">
        <f>E14-C14</f>
        <v>-11.125</v>
      </c>
      <c r="H14" s="278">
        <f>ROUND((F14-D14)*100,2)</f>
        <v>-0.68</v>
      </c>
      <c r="I14" s="263">
        <f>(E14-C14)/C14</f>
        <v>-1.2980906108085151E-2</v>
      </c>
      <c r="J14" s="163">
        <v>852.86900000000003</v>
      </c>
      <c r="K14" s="268">
        <f>J14/$B$10</f>
        <v>0.52393967317852319</v>
      </c>
      <c r="L14" s="266">
        <f>J14-C14</f>
        <v>-4.1589999999999918</v>
      </c>
      <c r="M14" s="267">
        <f>ROUND((K14-D14)*100,2)</f>
        <v>-0.26</v>
      </c>
      <c r="N14" s="268">
        <f>(J14-C14)/C14</f>
        <v>-4.8528169441371715E-3</v>
      </c>
      <c r="O14" s="279">
        <v>846.24</v>
      </c>
      <c r="P14" s="273">
        <f>O14/$B$10</f>
        <v>0.5198673055657943</v>
      </c>
      <c r="Q14" s="271">
        <f>O14-C14</f>
        <v>-10.788000000000011</v>
      </c>
      <c r="R14" s="272">
        <f>ROUND((P14-D14)*100,2)</f>
        <v>-0.66</v>
      </c>
      <c r="S14" s="387">
        <f>(O14-C14)/C14</f>
        <v>-1.2587686750024515E-2</v>
      </c>
    </row>
    <row r="15" spans="1:19" x14ac:dyDescent="0.3">
      <c r="A15" s="4" t="s">
        <v>15</v>
      </c>
      <c r="B15" s="242">
        <f>'[1]ATTIS Summary Tables'!$J$618/1000</f>
        <v>2625.71</v>
      </c>
      <c r="C15" s="274"/>
      <c r="D15" s="275"/>
      <c r="E15" s="276"/>
      <c r="F15" s="263"/>
      <c r="G15" s="277"/>
      <c r="H15" s="301"/>
      <c r="I15" s="263"/>
      <c r="J15" s="163"/>
      <c r="K15" s="268"/>
      <c r="L15" s="266"/>
      <c r="M15" s="267"/>
      <c r="N15" s="268"/>
      <c r="O15" s="279"/>
      <c r="P15" s="273"/>
      <c r="Q15" s="271"/>
      <c r="R15" s="272"/>
      <c r="S15" s="387"/>
    </row>
    <row r="16" spans="1:19" x14ac:dyDescent="0.3">
      <c r="A16" s="9" t="s">
        <v>0</v>
      </c>
      <c r="B16" s="242"/>
      <c r="C16" s="274">
        <f>'[2]SPM tables'!$D$618/1000</f>
        <v>109.325</v>
      </c>
      <c r="D16" s="275">
        <f>C16/$B$15</f>
        <v>4.163635740428303E-2</v>
      </c>
      <c r="E16" s="276">
        <v>62.393999999999998</v>
      </c>
      <c r="F16" s="263">
        <f>E16/$B$15</f>
        <v>2.3762715608349742E-2</v>
      </c>
      <c r="G16" s="277">
        <f>E16-C16</f>
        <v>-46.931000000000004</v>
      </c>
      <c r="H16" s="278">
        <f>ROUND((F16-D16)*100,2)</f>
        <v>-1.79</v>
      </c>
      <c r="I16" s="263">
        <f>(E16-C16)/C16</f>
        <v>-0.42927967070660877</v>
      </c>
      <c r="J16" s="163">
        <v>62.393999999999998</v>
      </c>
      <c r="K16" s="268">
        <f>J16/$B$15</f>
        <v>2.3762715608349742E-2</v>
      </c>
      <c r="L16" s="266">
        <f>J16-C16</f>
        <v>-46.931000000000004</v>
      </c>
      <c r="M16" s="267">
        <f>ROUND((K16-D16)*100,2)</f>
        <v>-1.79</v>
      </c>
      <c r="N16" s="268">
        <f>(J16-C16)/C16</f>
        <v>-0.42927967070660877</v>
      </c>
      <c r="O16" s="279">
        <v>67.456999999999994</v>
      </c>
      <c r="P16" s="273">
        <f>O16/$B$15</f>
        <v>2.5690955970004301E-2</v>
      </c>
      <c r="Q16" s="271">
        <f>O16-C16</f>
        <v>-41.868000000000009</v>
      </c>
      <c r="R16" s="272">
        <f>ROUND((P16-D16)*100,2)</f>
        <v>-1.59</v>
      </c>
      <c r="S16" s="387">
        <f>(O16-C16)/C16</f>
        <v>-0.38296821404070441</v>
      </c>
    </row>
    <row r="17" spans="1:19" x14ac:dyDescent="0.3">
      <c r="A17" s="9" t="s">
        <v>1</v>
      </c>
      <c r="B17" s="242"/>
      <c r="C17" s="274">
        <f>'[2]SPM tables'!$E$618/1000</f>
        <v>437.81700000000001</v>
      </c>
      <c r="D17" s="275">
        <f>C17/$B$15</f>
        <v>0.16674232874155942</v>
      </c>
      <c r="E17" s="276">
        <v>311.92700000000002</v>
      </c>
      <c r="F17" s="263">
        <f>E17/$B$15</f>
        <v>0.11879720151882729</v>
      </c>
      <c r="G17" s="277">
        <f>E17-C17</f>
        <v>-125.88999999999999</v>
      </c>
      <c r="H17" s="278">
        <f>ROUND((F17-D17)*100,2)</f>
        <v>-4.79</v>
      </c>
      <c r="I17" s="263">
        <f>(E17-C17)/C17</f>
        <v>-0.28754022799480145</v>
      </c>
      <c r="J17" s="163">
        <v>330.46800000000002</v>
      </c>
      <c r="K17" s="268">
        <f>J17/$B$15</f>
        <v>0.12585852969292116</v>
      </c>
      <c r="L17" s="266">
        <f>J17-C17</f>
        <v>-107.34899999999999</v>
      </c>
      <c r="M17" s="267">
        <f>ROUND((K17-D17)*100,2)</f>
        <v>-4.09</v>
      </c>
      <c r="N17" s="268">
        <f>(J17-C17)/C17</f>
        <v>-0.24519148411322536</v>
      </c>
      <c r="O17" s="279">
        <v>327.19900000000001</v>
      </c>
      <c r="P17" s="273">
        <f>O17/$B$15</f>
        <v>0.12461353310152302</v>
      </c>
      <c r="Q17" s="271">
        <f>O17-C17</f>
        <v>-110.61799999999999</v>
      </c>
      <c r="R17" s="272">
        <f>ROUND((P17-D17)*100,2)</f>
        <v>-4.21</v>
      </c>
      <c r="S17" s="387">
        <f>(O17-C17)/C17</f>
        <v>-0.25265807403549884</v>
      </c>
    </row>
    <row r="18" spans="1:19" x14ac:dyDescent="0.3">
      <c r="A18" s="9" t="s">
        <v>2</v>
      </c>
      <c r="B18" s="242"/>
      <c r="C18" s="274">
        <f>'[2]SPM tables'!$F$618/1000</f>
        <v>1120.25</v>
      </c>
      <c r="D18" s="275">
        <f>C18/$B$15</f>
        <v>0.42664650704000062</v>
      </c>
      <c r="E18" s="276">
        <v>1018.51</v>
      </c>
      <c r="F18" s="263">
        <f>E18/$B$15</f>
        <v>0.38789889210918188</v>
      </c>
      <c r="G18" s="277">
        <f>E18-C18</f>
        <v>-101.74000000000001</v>
      </c>
      <c r="H18" s="278">
        <f>ROUND((F18-D18)*100,2)</f>
        <v>-3.87</v>
      </c>
      <c r="I18" s="263">
        <f>(E18-C18)/C18</f>
        <v>-9.0819013613032809E-2</v>
      </c>
      <c r="J18" s="163">
        <v>1053.46</v>
      </c>
      <c r="K18" s="268">
        <f>J18/$B$15</f>
        <v>0.40120957759996345</v>
      </c>
      <c r="L18" s="266">
        <f>J18-C18</f>
        <v>-66.789999999999964</v>
      </c>
      <c r="M18" s="267">
        <f>ROUND((K18-D18)*100,2)</f>
        <v>-2.54</v>
      </c>
      <c r="N18" s="268">
        <f>(J18-C18)/C18</f>
        <v>-5.9620620397232725E-2</v>
      </c>
      <c r="O18" s="279">
        <v>1022.09</v>
      </c>
      <c r="P18" s="273">
        <f>O18/$B$15</f>
        <v>0.38926233285473261</v>
      </c>
      <c r="Q18" s="271">
        <f>O18-C18</f>
        <v>-98.159999999999968</v>
      </c>
      <c r="R18" s="272">
        <f>ROUND((P18-D18)*100,2)</f>
        <v>-3.74</v>
      </c>
      <c r="S18" s="387">
        <f>(O18-C18)/C18</f>
        <v>-8.7623298370899327E-2</v>
      </c>
    </row>
    <row r="19" spans="1:19" x14ac:dyDescent="0.3">
      <c r="A19" s="9" t="s">
        <v>3</v>
      </c>
      <c r="B19" s="242"/>
      <c r="C19" s="274">
        <f>'[2]SPM tables'!$G$618/1000</f>
        <v>1535.65</v>
      </c>
      <c r="D19" s="275">
        <f>C19/$B$15</f>
        <v>0.58485133544831691</v>
      </c>
      <c r="E19" s="276">
        <v>1502.68</v>
      </c>
      <c r="F19" s="263">
        <f>E19/$B$15</f>
        <v>0.57229473171066114</v>
      </c>
      <c r="G19" s="277">
        <f>E19-C19</f>
        <v>-32.970000000000027</v>
      </c>
      <c r="H19" s="278">
        <f>ROUND((F19-D19)*100,2)</f>
        <v>-1.26</v>
      </c>
      <c r="I19" s="263">
        <f>(E19-C19)/C19</f>
        <v>-2.1469735942434814E-2</v>
      </c>
      <c r="J19" s="163">
        <v>1520.96</v>
      </c>
      <c r="K19" s="268">
        <f>J19/$B$15</f>
        <v>0.57925665819911565</v>
      </c>
      <c r="L19" s="266">
        <f>J19-C19</f>
        <v>-14.690000000000055</v>
      </c>
      <c r="M19" s="267">
        <f>ROUND((K19-D19)*100,2)</f>
        <v>-0.56000000000000005</v>
      </c>
      <c r="N19" s="268">
        <f>(J19-C19)/C19</f>
        <v>-9.5659818317976458E-3</v>
      </c>
      <c r="O19" s="279">
        <v>1504.41</v>
      </c>
      <c r="P19" s="273">
        <f>O19/$B$15</f>
        <v>0.57295360112122062</v>
      </c>
      <c r="Q19" s="271">
        <f>O19-C19</f>
        <v>-31.240000000000009</v>
      </c>
      <c r="R19" s="272">
        <f>ROUND((P19-D19)*100,2)</f>
        <v>-1.19</v>
      </c>
      <c r="S19" s="387">
        <f>(O19-C19)/C19</f>
        <v>-2.0343177156253056E-2</v>
      </c>
    </row>
    <row r="20" spans="1:19" x14ac:dyDescent="0.3">
      <c r="A20" s="4" t="s">
        <v>17</v>
      </c>
      <c r="B20" s="242">
        <f>'[1]ATTIS Summary Tables'!$J$620/1000</f>
        <v>3645.79</v>
      </c>
      <c r="C20" s="274"/>
      <c r="D20" s="275"/>
      <c r="E20" s="276"/>
      <c r="F20" s="263"/>
      <c r="G20" s="277"/>
      <c r="H20" s="301"/>
      <c r="I20" s="263"/>
      <c r="J20" s="163"/>
      <c r="K20" s="268"/>
      <c r="L20" s="266"/>
      <c r="M20" s="267"/>
      <c r="N20" s="268"/>
      <c r="O20" s="279"/>
      <c r="P20" s="273"/>
      <c r="Q20" s="271"/>
      <c r="R20" s="272"/>
      <c r="S20" s="387"/>
    </row>
    <row r="21" spans="1:19" x14ac:dyDescent="0.3">
      <c r="A21" s="9" t="s">
        <v>0</v>
      </c>
      <c r="B21" s="242"/>
      <c r="C21" s="274">
        <f>'[2]SPM tables'!$D$620/1000</f>
        <v>146.06100000000001</v>
      </c>
      <c r="D21" s="275">
        <f>C21/$B$20</f>
        <v>4.0062921890728763E-2</v>
      </c>
      <c r="E21" s="276">
        <v>74.375</v>
      </c>
      <c r="F21" s="263">
        <f>E21/$B$20</f>
        <v>2.0400242471453375E-2</v>
      </c>
      <c r="G21" s="277">
        <f>E21-C21</f>
        <v>-71.686000000000007</v>
      </c>
      <c r="H21" s="278">
        <f>ROUND((F21-D21)*100,2)</f>
        <v>-1.97</v>
      </c>
      <c r="I21" s="263">
        <f>(E21-C21)/C21</f>
        <v>-0.4907949418393685</v>
      </c>
      <c r="J21" s="163">
        <v>76.38</v>
      </c>
      <c r="K21" s="268">
        <f>J21/$B$20</f>
        <v>2.0950191865137597E-2</v>
      </c>
      <c r="L21" s="266">
        <f>J21-C21</f>
        <v>-69.681000000000012</v>
      </c>
      <c r="M21" s="267">
        <f>ROUND((K21-D21)*100,2)</f>
        <v>-1.91</v>
      </c>
      <c r="N21" s="268">
        <f>(J21-C21)/C21</f>
        <v>-0.47706780043954244</v>
      </c>
      <c r="O21" s="279">
        <v>83.23</v>
      </c>
      <c r="P21" s="273">
        <f>O21/$B$20</f>
        <v>2.2829071339819356E-2</v>
      </c>
      <c r="Q21" s="271">
        <f>O21-C21</f>
        <v>-62.831000000000003</v>
      </c>
      <c r="R21" s="272">
        <f>ROUND((P21-D21)*100,2)</f>
        <v>-1.72</v>
      </c>
      <c r="S21" s="387">
        <f>(O21-C21)/C21</f>
        <v>-0.43016958667953797</v>
      </c>
    </row>
    <row r="22" spans="1:19" x14ac:dyDescent="0.3">
      <c r="A22" s="9" t="s">
        <v>1</v>
      </c>
      <c r="B22" s="242"/>
      <c r="C22" s="274">
        <f>'[2]SPM tables'!$E$620/1000</f>
        <v>694.21</v>
      </c>
      <c r="D22" s="275">
        <f>C22/$B$20</f>
        <v>0.19041414892245578</v>
      </c>
      <c r="E22" s="276">
        <v>458.755</v>
      </c>
      <c r="F22" s="263">
        <f>E22/$B$20</f>
        <v>0.12583143845366848</v>
      </c>
      <c r="G22" s="277">
        <f>E22-C22</f>
        <v>-235.45500000000004</v>
      </c>
      <c r="H22" s="278">
        <f>ROUND((F22-D22)*100,2)</f>
        <v>-6.46</v>
      </c>
      <c r="I22" s="263">
        <f>(E22-C22)/C22</f>
        <v>-0.33916970369196647</v>
      </c>
      <c r="J22" s="163">
        <v>485.28399999999999</v>
      </c>
      <c r="K22" s="268">
        <f>J22/$B$20</f>
        <v>0.13310805065568779</v>
      </c>
      <c r="L22" s="266">
        <f>J22-C22</f>
        <v>-208.92600000000004</v>
      </c>
      <c r="M22" s="267">
        <f>ROUND((K22-D22)*100,2)</f>
        <v>-5.73</v>
      </c>
      <c r="N22" s="268">
        <f>(J22-C22)/C22</f>
        <v>-0.30095504242232185</v>
      </c>
      <c r="O22" s="279">
        <v>477.87700000000001</v>
      </c>
      <c r="P22" s="273">
        <f>O22/$B$20</f>
        <v>0.13107639222226183</v>
      </c>
      <c r="Q22" s="271">
        <f>O22-C22</f>
        <v>-216.33300000000003</v>
      </c>
      <c r="R22" s="272">
        <f>ROUND((P22-D22)*100,2)</f>
        <v>-5.93</v>
      </c>
      <c r="S22" s="387">
        <f>(O22-C22)/C22</f>
        <v>-0.31162472450699358</v>
      </c>
    </row>
    <row r="23" spans="1:19" x14ac:dyDescent="0.3">
      <c r="A23" s="9" t="s">
        <v>2</v>
      </c>
      <c r="B23" s="242"/>
      <c r="C23" s="274">
        <f>'[2]SPM tables'!$F$620/1000</f>
        <v>1749.69</v>
      </c>
      <c r="D23" s="275">
        <f>C23/$B$20</f>
        <v>0.4799206756286018</v>
      </c>
      <c r="E23" s="276">
        <v>1594.63</v>
      </c>
      <c r="F23" s="263">
        <f>E23/$B$20</f>
        <v>0.4373894272571926</v>
      </c>
      <c r="G23" s="277">
        <f>E23-C23</f>
        <v>-155.05999999999995</v>
      </c>
      <c r="H23" s="278">
        <f>ROUND((F23-D23)*100,2)</f>
        <v>-4.25</v>
      </c>
      <c r="I23" s="263">
        <f>(E23-C23)/C23</f>
        <v>-8.862141293600577E-2</v>
      </c>
      <c r="J23" s="163">
        <v>1666.8</v>
      </c>
      <c r="K23" s="268">
        <f>J23/$B$20</f>
        <v>0.45718486254008045</v>
      </c>
      <c r="L23" s="266">
        <f>J23-C23</f>
        <v>-82.8900000000001</v>
      </c>
      <c r="M23" s="267">
        <f>ROUND((K23-D23)*100,2)</f>
        <v>-2.27</v>
      </c>
      <c r="N23" s="268">
        <f>(J23-C23)/C23</f>
        <v>-4.7374106270253645E-2</v>
      </c>
      <c r="O23" s="279">
        <v>1599.08</v>
      </c>
      <c r="P23" s="273">
        <f>O23/$B$20</f>
        <v>0.43861001319329967</v>
      </c>
      <c r="Q23" s="271">
        <f>O23-C23</f>
        <v>-150.61000000000013</v>
      </c>
      <c r="R23" s="272">
        <f>ROUND((P23-D23)*100,2)</f>
        <v>-4.13</v>
      </c>
      <c r="S23" s="387">
        <f>(O23-C23)/C23</f>
        <v>-8.6078105264361188E-2</v>
      </c>
    </row>
    <row r="24" spans="1:19" x14ac:dyDescent="0.3">
      <c r="A24" s="9" t="s">
        <v>3</v>
      </c>
      <c r="B24" s="242"/>
      <c r="C24" s="274">
        <f>'[2]SPM tables'!$G$620/1000</f>
        <v>2391.3000000000002</v>
      </c>
      <c r="D24" s="275">
        <f>C24/$B$20</f>
        <v>0.65590722449729699</v>
      </c>
      <c r="E24" s="276">
        <v>2346.06</v>
      </c>
      <c r="F24" s="263">
        <f>E24/$B$20</f>
        <v>0.64349839129516506</v>
      </c>
      <c r="G24" s="277">
        <f>E24-C24</f>
        <v>-45.240000000000236</v>
      </c>
      <c r="H24" s="278">
        <f>ROUND((F24-D24)*100,2)</f>
        <v>-1.24</v>
      </c>
      <c r="I24" s="263">
        <f>(E24-C24)/C24</f>
        <v>-1.8918579851963463E-2</v>
      </c>
      <c r="J24" s="163">
        <v>2369.87</v>
      </c>
      <c r="K24" s="268">
        <f>J24/$B$20</f>
        <v>0.65002921177577422</v>
      </c>
      <c r="L24" s="266">
        <f>J24-C24</f>
        <v>-21.430000000000291</v>
      </c>
      <c r="M24" s="267">
        <f>ROUND((K24-D24)*100,2)</f>
        <v>-0.59</v>
      </c>
      <c r="N24" s="268">
        <f>(J24-C24)/C24</f>
        <v>-8.961652657550407E-3</v>
      </c>
      <c r="O24" s="279">
        <v>2342.12</v>
      </c>
      <c r="P24" s="273">
        <f>O24/$B$20</f>
        <v>0.64241769273600502</v>
      </c>
      <c r="Q24" s="271">
        <f>O24-C24</f>
        <v>-49.180000000000291</v>
      </c>
      <c r="R24" s="272">
        <f>ROUND((P24-D24)*100,2)</f>
        <v>-1.35</v>
      </c>
      <c r="S24" s="387">
        <f>(O24-C24)/C24</f>
        <v>-2.0566219211307777E-2</v>
      </c>
    </row>
    <row r="25" spans="1:19" x14ac:dyDescent="0.3">
      <c r="A25" s="4" t="s">
        <v>18</v>
      </c>
      <c r="B25" s="242">
        <f>'[1]ATTIS Summary Tables'!$J$617/1000</f>
        <v>10430.799999999999</v>
      </c>
      <c r="C25" s="274"/>
      <c r="D25" s="275"/>
      <c r="E25" s="276"/>
      <c r="F25" s="263"/>
      <c r="G25" s="277"/>
      <c r="H25" s="301"/>
      <c r="I25" s="263"/>
      <c r="J25" s="163"/>
      <c r="K25" s="268"/>
      <c r="L25" s="266"/>
      <c r="M25" s="267"/>
      <c r="N25" s="268"/>
      <c r="O25" s="279"/>
      <c r="P25" s="273"/>
      <c r="Q25" s="271"/>
      <c r="R25" s="272"/>
      <c r="S25" s="387"/>
    </row>
    <row r="26" spans="1:19" x14ac:dyDescent="0.3">
      <c r="A26" s="9" t="s">
        <v>0</v>
      </c>
      <c r="B26" s="242"/>
      <c r="C26" s="274">
        <f>'[2]SPM tables'!$D$617/1000</f>
        <v>285.07900000000001</v>
      </c>
      <c r="D26" s="275">
        <f>C26/$B$25</f>
        <v>2.7330501974920429E-2</v>
      </c>
      <c r="E26" s="276">
        <v>220.03899999999999</v>
      </c>
      <c r="F26" s="263">
        <f>E26/$B$25</f>
        <v>2.1095122138282778E-2</v>
      </c>
      <c r="G26" s="277">
        <f>E26-C26</f>
        <v>-65.04000000000002</v>
      </c>
      <c r="H26" s="278">
        <f>ROUND((F26-D26)*100,2)</f>
        <v>-0.62</v>
      </c>
      <c r="I26" s="263">
        <f>(E26-C26)/C26</f>
        <v>-0.22814728548928548</v>
      </c>
      <c r="J26" s="163">
        <v>223.89</v>
      </c>
      <c r="K26" s="268">
        <f>J26/$B$25</f>
        <v>2.1464317214403499E-2</v>
      </c>
      <c r="L26" s="266">
        <f>J26-C26</f>
        <v>-61.189000000000021</v>
      </c>
      <c r="M26" s="267">
        <f>ROUND((K26-D26)*100,2)</f>
        <v>-0.59</v>
      </c>
      <c r="N26" s="268">
        <f>(J26-C26)/C26</f>
        <v>-0.21463874925897741</v>
      </c>
      <c r="O26" s="279">
        <v>231.09299999999999</v>
      </c>
      <c r="P26" s="273">
        <f>O26/$B$25</f>
        <v>2.2154868274724855E-2</v>
      </c>
      <c r="Q26" s="271">
        <f>O26-C26</f>
        <v>-53.986000000000018</v>
      </c>
      <c r="R26" s="272">
        <f>ROUND((P26-D26)*100,2)</f>
        <v>-0.52</v>
      </c>
      <c r="S26" s="387">
        <f>(O26-C26)/C26</f>
        <v>-0.18937206879496565</v>
      </c>
    </row>
    <row r="27" spans="1:19" x14ac:dyDescent="0.3">
      <c r="A27" s="9" t="s">
        <v>1</v>
      </c>
      <c r="B27" s="242"/>
      <c r="C27" s="274">
        <f>'[2]SPM tables'!$E$617/1000</f>
        <v>931.37599999999998</v>
      </c>
      <c r="D27" s="275">
        <f>C27/$B$25</f>
        <v>8.9290946044406946E-2</v>
      </c>
      <c r="E27" s="276">
        <v>752.43799999999999</v>
      </c>
      <c r="F27" s="263">
        <f>E27/$B$25</f>
        <v>7.2136173639605783E-2</v>
      </c>
      <c r="G27" s="277">
        <f>E27-C27</f>
        <v>-178.93799999999999</v>
      </c>
      <c r="H27" s="278">
        <f>ROUND((F27-D27)*100,2)</f>
        <v>-1.72</v>
      </c>
      <c r="I27" s="263">
        <f>(E27-C27)/C27</f>
        <v>-0.19212219339987288</v>
      </c>
      <c r="J27" s="163">
        <v>785.65800000000002</v>
      </c>
      <c r="K27" s="268">
        <f>J27/$B$25</f>
        <v>7.5320972504505895E-2</v>
      </c>
      <c r="L27" s="266">
        <f>J27-C27</f>
        <v>-145.71799999999996</v>
      </c>
      <c r="M27" s="267">
        <f>ROUND((K27-D27)*100,2)</f>
        <v>-1.4</v>
      </c>
      <c r="N27" s="268">
        <f>(J27-C27)/C27</f>
        <v>-0.1564545360842452</v>
      </c>
      <c r="O27" s="279">
        <v>771.48500000000001</v>
      </c>
      <c r="P27" s="273">
        <f>O27/$B$25</f>
        <v>7.3962208076082378E-2</v>
      </c>
      <c r="Q27" s="271">
        <f>O27-C27</f>
        <v>-159.89099999999996</v>
      </c>
      <c r="R27" s="272">
        <f>ROUND((P27-D27)*100,2)</f>
        <v>-1.53</v>
      </c>
      <c r="S27" s="387">
        <f>(O27-C27)/C27</f>
        <v>-0.17167180601604504</v>
      </c>
    </row>
    <row r="28" spans="1:19" x14ac:dyDescent="0.3">
      <c r="A28" s="9" t="s">
        <v>2</v>
      </c>
      <c r="B28" s="242"/>
      <c r="C28" s="274">
        <f>'[2]SPM tables'!$F$617/1000</f>
        <v>2062.98</v>
      </c>
      <c r="D28" s="275">
        <f>C28/$B$25</f>
        <v>0.19777773516892283</v>
      </c>
      <c r="E28" s="276">
        <v>1897.88</v>
      </c>
      <c r="F28" s="263">
        <f>E28/$B$25</f>
        <v>0.18194961076810987</v>
      </c>
      <c r="G28" s="277">
        <f>E28-C28</f>
        <v>-165.09999999999991</v>
      </c>
      <c r="H28" s="278">
        <f>ROUND((F28-D28)*100,2)</f>
        <v>-1.58</v>
      </c>
      <c r="I28" s="263">
        <f>(E28-C28)/C28</f>
        <v>-8.0029859717496002E-2</v>
      </c>
      <c r="J28" s="163">
        <v>1983.47</v>
      </c>
      <c r="K28" s="268">
        <f>J28/$B$25</f>
        <v>0.19015511753652645</v>
      </c>
      <c r="L28" s="266">
        <f>J28-C28</f>
        <v>-79.509999999999991</v>
      </c>
      <c r="M28" s="267">
        <f>ROUND((K28-D28)*100,2)</f>
        <v>-0.76</v>
      </c>
      <c r="N28" s="268">
        <f>(J28-C28)/C28</f>
        <v>-3.8541333410891034E-2</v>
      </c>
      <c r="O28" s="279">
        <v>1899.43</v>
      </c>
      <c r="P28" s="273">
        <f>O28/$B$25</f>
        <v>0.18209820914982552</v>
      </c>
      <c r="Q28" s="271">
        <f>O28-C28</f>
        <v>-163.54999999999995</v>
      </c>
      <c r="R28" s="272">
        <f>ROUND((P28-D28)*100,2)</f>
        <v>-1.57</v>
      </c>
      <c r="S28" s="387">
        <f>(O28-C28)/C28</f>
        <v>-7.9278519423358423E-2</v>
      </c>
    </row>
    <row r="29" spans="1:19" x14ac:dyDescent="0.3">
      <c r="A29" s="9" t="s">
        <v>3</v>
      </c>
      <c r="B29" s="242"/>
      <c r="C29" s="274">
        <f>'[2]SPM tables'!$G$617/1000</f>
        <v>3197.45</v>
      </c>
      <c r="D29" s="275">
        <f>C29/$B$25</f>
        <v>0.30653928749472714</v>
      </c>
      <c r="E29" s="276">
        <v>3111.39</v>
      </c>
      <c r="F29" s="263">
        <f>E29/$B$25</f>
        <v>0.29828872186217742</v>
      </c>
      <c r="G29" s="277">
        <f>E29-C29</f>
        <v>-86.059999999999945</v>
      </c>
      <c r="H29" s="278">
        <f>ROUND((F29-D29)*100,2)</f>
        <v>-0.83</v>
      </c>
      <c r="I29" s="263">
        <f>(E29-C29)/C29</f>
        <v>-2.691519804844484E-2</v>
      </c>
      <c r="J29" s="163">
        <v>3164.96</v>
      </c>
      <c r="K29" s="268">
        <f>J29/$B$25</f>
        <v>0.30342447367411896</v>
      </c>
      <c r="L29" s="266">
        <f>J29-C29</f>
        <v>-32.489999999999782</v>
      </c>
      <c r="M29" s="267">
        <f>ROUND((K29-D29)*100,2)</f>
        <v>-0.31</v>
      </c>
      <c r="N29" s="268">
        <f>(J29-C29)/C29</f>
        <v>-1.016122222395965E-2</v>
      </c>
      <c r="O29" s="279">
        <v>3105.99</v>
      </c>
      <c r="P29" s="273">
        <f>O29/$B$25</f>
        <v>0.29777102427426466</v>
      </c>
      <c r="Q29" s="271">
        <f>O29-C29</f>
        <v>-91.460000000000036</v>
      </c>
      <c r="R29" s="272">
        <f>ROUND((P29-D29)*100,2)</f>
        <v>-0.88</v>
      </c>
      <c r="S29" s="387">
        <f>(O29-C29)/C29</f>
        <v>-2.8604043847440943E-2</v>
      </c>
    </row>
    <row r="30" spans="1:19" x14ac:dyDescent="0.3">
      <c r="A30" s="4" t="s">
        <v>52</v>
      </c>
      <c r="B30" s="242">
        <f>'[1]ATTIS Summary Tables'!$J$621/1000</f>
        <v>549.71500000000003</v>
      </c>
      <c r="C30" s="274"/>
      <c r="D30" s="275"/>
      <c r="E30" s="276"/>
      <c r="F30" s="263"/>
      <c r="G30" s="277"/>
      <c r="H30" s="301"/>
      <c r="I30" s="263"/>
      <c r="J30" s="163"/>
      <c r="K30" s="268"/>
      <c r="L30" s="266"/>
      <c r="M30" s="267"/>
      <c r="N30" s="268"/>
      <c r="O30" s="279"/>
      <c r="P30" s="273"/>
      <c r="Q30" s="271"/>
      <c r="R30" s="272"/>
      <c r="S30" s="387"/>
    </row>
    <row r="31" spans="1:19" x14ac:dyDescent="0.3">
      <c r="A31" s="9" t="s">
        <v>0</v>
      </c>
      <c r="B31" s="242"/>
      <c r="C31" s="274">
        <f>'[2]SPM tables'!$D$621/1000</f>
        <v>20.919</v>
      </c>
      <c r="D31" s="275">
        <f>C31/$B$30</f>
        <v>3.8054264482504568E-2</v>
      </c>
      <c r="E31" s="276">
        <v>13.071</v>
      </c>
      <c r="F31" s="263">
        <f>E31/$B$30</f>
        <v>2.3777775756528383E-2</v>
      </c>
      <c r="G31" s="303">
        <f>E31-C31</f>
        <v>-7.8480000000000008</v>
      </c>
      <c r="H31" s="278">
        <f>ROUND((F31-D31)*100,2)</f>
        <v>-1.43</v>
      </c>
      <c r="I31" s="263">
        <f>(E31-C31)/C31</f>
        <v>-0.37516133658396678</v>
      </c>
      <c r="J31" s="163">
        <v>13.295</v>
      </c>
      <c r="K31" s="268">
        <f>J31/$B$30</f>
        <v>2.4185259634537895E-2</v>
      </c>
      <c r="L31" s="266">
        <f>J31-C31</f>
        <v>-7.6240000000000006</v>
      </c>
      <c r="M31" s="267">
        <f>ROUND((K31-D31)*100,2)</f>
        <v>-1.39</v>
      </c>
      <c r="N31" s="268">
        <f>(J31-C31)/C31</f>
        <v>-0.36445336775180459</v>
      </c>
      <c r="O31" s="279">
        <v>15.061</v>
      </c>
      <c r="P31" s="273">
        <f>O31/$B$30</f>
        <v>2.7397833422773618E-2</v>
      </c>
      <c r="Q31" s="271">
        <f>O31-C31</f>
        <v>-5.8580000000000005</v>
      </c>
      <c r="R31" s="272">
        <f>ROUND((P31-D31)*100,2)</f>
        <v>-1.07</v>
      </c>
      <c r="S31" s="387">
        <f>(O31-C31)/C31</f>
        <v>-0.28003250633395482</v>
      </c>
    </row>
    <row r="32" spans="1:19" x14ac:dyDescent="0.3">
      <c r="A32" s="9" t="s">
        <v>1</v>
      </c>
      <c r="B32" s="242"/>
      <c r="C32" s="274">
        <f>'[2]SPM tables'!$E$621/1000</f>
        <v>92.043999999999997</v>
      </c>
      <c r="D32" s="275">
        <f>C32/$B$30</f>
        <v>0.16743949137280226</v>
      </c>
      <c r="E32" s="276">
        <v>58.722999999999999</v>
      </c>
      <c r="F32" s="263">
        <f>E32/$B$30</f>
        <v>0.10682444539443166</v>
      </c>
      <c r="G32" s="277">
        <f>E32-C32</f>
        <v>-33.320999999999998</v>
      </c>
      <c r="H32" s="278">
        <f>ROUND((F32-D32)*100,2)</f>
        <v>-6.06</v>
      </c>
      <c r="I32" s="263">
        <f>(E32-C32)/C32</f>
        <v>-0.3620116466037982</v>
      </c>
      <c r="J32" s="163">
        <v>68.087999999999994</v>
      </c>
      <c r="K32" s="268">
        <f>J32/$B$30</f>
        <v>0.12386054591924904</v>
      </c>
      <c r="L32" s="266">
        <f>J32-C32</f>
        <v>-23.956000000000003</v>
      </c>
      <c r="M32" s="267">
        <f>ROUND((K32-D32)*100,2)</f>
        <v>-4.3600000000000003</v>
      </c>
      <c r="N32" s="268">
        <f>(J32-C32)/C32</f>
        <v>-0.26026682890791364</v>
      </c>
      <c r="O32" s="279">
        <v>63.945</v>
      </c>
      <c r="P32" s="273">
        <f>O32/$B$30</f>
        <v>0.11632391330052845</v>
      </c>
      <c r="Q32" s="271">
        <f>O32-C32</f>
        <v>-28.098999999999997</v>
      </c>
      <c r="R32" s="272">
        <f>ROUND((P32-D32)*100,2)</f>
        <v>-5.1100000000000003</v>
      </c>
      <c r="S32" s="387">
        <f>(O32-C32)/C32</f>
        <v>-0.30527791056451259</v>
      </c>
    </row>
    <row r="33" spans="1:19" x14ac:dyDescent="0.3">
      <c r="A33" s="9" t="s">
        <v>2</v>
      </c>
      <c r="B33" s="242"/>
      <c r="C33" s="274">
        <f>'[2]SPM tables'!$F$621/1000</f>
        <v>189.845</v>
      </c>
      <c r="D33" s="275">
        <f>C33/$B$30</f>
        <v>0.34535168223534013</v>
      </c>
      <c r="E33" s="276">
        <v>173.78700000000001</v>
      </c>
      <c r="F33" s="263">
        <f>E33/$B$30</f>
        <v>0.3161401817305331</v>
      </c>
      <c r="G33" s="277">
        <f>E33-C33</f>
        <v>-16.057999999999993</v>
      </c>
      <c r="H33" s="278">
        <f>ROUND((F33-D33)*100,2)</f>
        <v>-2.92</v>
      </c>
      <c r="I33" s="263">
        <f>(E33-C33)/C33</f>
        <v>-8.4584792857330948E-2</v>
      </c>
      <c r="J33" s="163">
        <v>183.93199999999999</v>
      </c>
      <c r="K33" s="268">
        <f>J33/$B$30</f>
        <v>0.33459519933056214</v>
      </c>
      <c r="L33" s="266">
        <f>J33-C33</f>
        <v>-5.9130000000000109</v>
      </c>
      <c r="M33" s="267">
        <f>ROUND((K33-D33)*100,2)</f>
        <v>-1.08</v>
      </c>
      <c r="N33" s="268">
        <f>(J33-C33)/C33</f>
        <v>-3.1146461587084256E-2</v>
      </c>
      <c r="O33" s="279">
        <v>173.23</v>
      </c>
      <c r="P33" s="273">
        <f>O33/$B$30</f>
        <v>0.31512692940887549</v>
      </c>
      <c r="Q33" s="271">
        <f>O33-C33</f>
        <v>-16.615000000000009</v>
      </c>
      <c r="R33" s="272">
        <f>ROUND((P33-D33)*100,2)</f>
        <v>-3.02</v>
      </c>
      <c r="S33" s="387">
        <f>(O33-C33)/C33</f>
        <v>-8.7518765308541233E-2</v>
      </c>
    </row>
    <row r="34" spans="1:19" x14ac:dyDescent="0.3">
      <c r="A34" s="9" t="s">
        <v>3</v>
      </c>
      <c r="B34" s="242"/>
      <c r="C34" s="274">
        <f>'[2]SPM tables'!$G$621/1000</f>
        <v>269.37599999999998</v>
      </c>
      <c r="D34" s="275">
        <f>C34/$B$30</f>
        <v>0.49002846929772692</v>
      </c>
      <c r="E34" s="276">
        <v>263.73500000000001</v>
      </c>
      <c r="F34" s="263">
        <f>E34/$B$30</f>
        <v>0.47976678824481778</v>
      </c>
      <c r="G34" s="277">
        <f>E34-C34</f>
        <v>-5.6409999999999627</v>
      </c>
      <c r="H34" s="278">
        <f>ROUND((F34-D34)*100,2)</f>
        <v>-1.03</v>
      </c>
      <c r="I34" s="263">
        <f>(E34-C34)/C34</f>
        <v>-2.0940989546210365E-2</v>
      </c>
      <c r="J34" s="163">
        <v>268.08</v>
      </c>
      <c r="K34" s="268">
        <f>J34/$B$30</f>
        <v>0.48767088400352904</v>
      </c>
      <c r="L34" s="266">
        <f>J34-C34</f>
        <v>-1.2959999999999923</v>
      </c>
      <c r="M34" s="267">
        <f>ROUND((K34-D34)*100,2)</f>
        <v>-0.24</v>
      </c>
      <c r="N34" s="268">
        <f>(J34-C34)/C34</f>
        <v>-4.8111190306485817E-3</v>
      </c>
      <c r="O34" s="279">
        <v>263.61200000000002</v>
      </c>
      <c r="P34" s="273">
        <f>O34/$B$30</f>
        <v>0.47954303593680364</v>
      </c>
      <c r="Q34" s="271">
        <f>O34-C34</f>
        <v>-5.7639999999999532</v>
      </c>
      <c r="R34" s="272">
        <f>ROUND((P34-D34)*100,2)</f>
        <v>-1.05</v>
      </c>
      <c r="S34" s="387">
        <f>(O34-C34)/C34</f>
        <v>-2.1397600380137629E-2</v>
      </c>
    </row>
    <row r="35" spans="1:19" ht="27.5" x14ac:dyDescent="0.3">
      <c r="A35" s="11" t="s">
        <v>83</v>
      </c>
      <c r="B35" s="243"/>
      <c r="C35" s="258"/>
      <c r="D35" s="275"/>
      <c r="E35" s="260"/>
      <c r="F35" s="263"/>
      <c r="G35" s="277"/>
      <c r="H35" s="262"/>
      <c r="I35" s="263"/>
      <c r="J35" s="264"/>
      <c r="K35" s="268"/>
      <c r="L35" s="266"/>
      <c r="M35" s="267"/>
      <c r="N35" s="268"/>
      <c r="O35" s="269"/>
      <c r="P35" s="273"/>
      <c r="Q35" s="271"/>
      <c r="R35" s="272"/>
      <c r="S35" s="387"/>
    </row>
    <row r="36" spans="1:19" x14ac:dyDescent="0.3">
      <c r="A36" s="4" t="s">
        <v>58</v>
      </c>
      <c r="B36" s="242">
        <f>'[1]ATTIS Summary Tables'!$J$839/1000</f>
        <v>3993.93</v>
      </c>
      <c r="C36" s="274"/>
      <c r="D36" s="275"/>
      <c r="E36" s="276"/>
      <c r="F36" s="263"/>
      <c r="G36" s="277"/>
      <c r="H36" s="301"/>
      <c r="I36" s="263"/>
      <c r="J36" s="163"/>
      <c r="K36" s="268"/>
      <c r="L36" s="266"/>
      <c r="M36" s="267"/>
      <c r="N36" s="268"/>
      <c r="O36" s="279"/>
      <c r="P36" s="273"/>
      <c r="Q36" s="271"/>
      <c r="R36" s="272"/>
      <c r="S36" s="387"/>
    </row>
    <row r="37" spans="1:19" x14ac:dyDescent="0.3">
      <c r="A37" s="4" t="s">
        <v>16</v>
      </c>
      <c r="B37" s="242">
        <f>'[1]ATTIS Summary Tables'!$J$843/1000</f>
        <v>302.55700000000002</v>
      </c>
      <c r="C37" s="274"/>
      <c r="D37" s="275"/>
      <c r="E37" s="276"/>
      <c r="F37" s="263"/>
      <c r="G37" s="277"/>
      <c r="H37" s="301"/>
      <c r="I37" s="263"/>
      <c r="J37" s="163"/>
      <c r="K37" s="268"/>
      <c r="L37" s="266"/>
      <c r="M37" s="267"/>
      <c r="N37" s="268"/>
      <c r="O37" s="279"/>
      <c r="P37" s="273"/>
      <c r="Q37" s="271"/>
      <c r="R37" s="272"/>
      <c r="S37" s="387"/>
    </row>
    <row r="38" spans="1:19" x14ac:dyDescent="0.3">
      <c r="A38" s="9" t="s">
        <v>0</v>
      </c>
      <c r="B38" s="242"/>
      <c r="C38" s="274">
        <f>'[2]SPM tables'!$D$843/1000</f>
        <v>9.2430000000000003</v>
      </c>
      <c r="D38" s="275">
        <f>C38/$B$37</f>
        <v>3.0549615444362549E-2</v>
      </c>
      <c r="E38" s="276">
        <v>3.0070000000000001</v>
      </c>
      <c r="F38" s="263">
        <f>E38/$B$37</f>
        <v>9.9386231354752982E-3</v>
      </c>
      <c r="G38" s="277">
        <f>E38-C38</f>
        <v>-6.2360000000000007</v>
      </c>
      <c r="H38" s="278">
        <f>ROUND((F38-D38)*100,2)</f>
        <v>-2.06</v>
      </c>
      <c r="I38" s="263">
        <f>(E38-C38)/C38</f>
        <v>-0.67467272530563671</v>
      </c>
      <c r="J38" s="163">
        <v>3.5369999999999999</v>
      </c>
      <c r="K38" s="268">
        <f>J38/$B$37</f>
        <v>1.1690359171990732E-2</v>
      </c>
      <c r="L38" s="266">
        <f>J38-C38</f>
        <v>-5.7060000000000004</v>
      </c>
      <c r="M38" s="267">
        <f>ROUND((K38-D38)*100,2)</f>
        <v>-1.89</v>
      </c>
      <c r="N38" s="268">
        <f>(J38-C38)/C38</f>
        <v>-0.61733203505355405</v>
      </c>
      <c r="O38" s="279">
        <v>3.7149999999999999</v>
      </c>
      <c r="P38" s="273">
        <f>O38/$B$37</f>
        <v>1.2278678067273273E-2</v>
      </c>
      <c r="Q38" s="271">
        <f>O38-C38</f>
        <v>-5.5280000000000005</v>
      </c>
      <c r="R38" s="272">
        <f>ROUND((P38-D38)*100,2)</f>
        <v>-1.83</v>
      </c>
      <c r="S38" s="387">
        <f>(O38-C38)/C38</f>
        <v>-0.59807421832738294</v>
      </c>
    </row>
    <row r="39" spans="1:19" x14ac:dyDescent="0.3">
      <c r="A39" s="9" t="s">
        <v>1</v>
      </c>
      <c r="B39" s="242"/>
      <c r="C39" s="274">
        <f>'[2]SPM tables'!$E$843/1000</f>
        <v>49.35</v>
      </c>
      <c r="D39" s="275">
        <f>C39/$B$37</f>
        <v>0.16310976113591819</v>
      </c>
      <c r="E39" s="276">
        <v>29.579000000000001</v>
      </c>
      <c r="F39" s="263">
        <f>E39/$B$37</f>
        <v>9.7763396649226425E-2</v>
      </c>
      <c r="G39" s="277">
        <f>E39-C39</f>
        <v>-19.771000000000001</v>
      </c>
      <c r="H39" s="278">
        <f>ROUND((F39-D39)*100,2)</f>
        <v>-6.53</v>
      </c>
      <c r="I39" s="263">
        <f>(E39-C39)/C39</f>
        <v>-0.40062816616008107</v>
      </c>
      <c r="J39" s="163">
        <v>33.564</v>
      </c>
      <c r="K39" s="268">
        <f>J39/$B$37</f>
        <v>0.11093446854642265</v>
      </c>
      <c r="L39" s="266">
        <f>J39-C39</f>
        <v>-15.786000000000001</v>
      </c>
      <c r="M39" s="267">
        <f>ROUND((K39-D39)*100,2)</f>
        <v>-5.22</v>
      </c>
      <c r="N39" s="268">
        <f>(J39-C39)/C39</f>
        <v>-0.31987841945288753</v>
      </c>
      <c r="O39" s="279">
        <v>30.7</v>
      </c>
      <c r="P39" s="273">
        <f>O39/$B$37</f>
        <v>0.10146848362457321</v>
      </c>
      <c r="Q39" s="271">
        <f>O39-C39</f>
        <v>-18.650000000000002</v>
      </c>
      <c r="R39" s="272">
        <f>ROUND((P39-D39)*100,2)</f>
        <v>-6.16</v>
      </c>
      <c r="S39" s="387">
        <f>(O39-C39)/C39</f>
        <v>-0.37791286727456941</v>
      </c>
    </row>
    <row r="40" spans="1:19" x14ac:dyDescent="0.3">
      <c r="A40" s="9" t="s">
        <v>2</v>
      </c>
      <c r="B40" s="242"/>
      <c r="C40" s="274">
        <f>'[2]SPM tables'!$F$843/1000</f>
        <v>133.762</v>
      </c>
      <c r="D40" s="275">
        <f>C40/$B$37</f>
        <v>0.44210512399316493</v>
      </c>
      <c r="E40" s="276">
        <v>120.895</v>
      </c>
      <c r="F40" s="263">
        <f>E40/$B$37</f>
        <v>0.39957760025383643</v>
      </c>
      <c r="G40" s="277">
        <f>E40-C40</f>
        <v>-12.867000000000004</v>
      </c>
      <c r="H40" s="278">
        <f>ROUND((F40-D40)*100,2)</f>
        <v>-4.25</v>
      </c>
      <c r="I40" s="263">
        <f>(E40-C40)/C40</f>
        <v>-9.6193238737459108E-2</v>
      </c>
      <c r="J40" s="163">
        <v>128.267</v>
      </c>
      <c r="K40" s="268">
        <f>J40/$B$37</f>
        <v>0.42394325697306617</v>
      </c>
      <c r="L40" s="266">
        <f>J40-C40</f>
        <v>-5.4950000000000045</v>
      </c>
      <c r="M40" s="267">
        <f>ROUND((K40-D40)*100,2)</f>
        <v>-1.82</v>
      </c>
      <c r="N40" s="268">
        <f>(J40-C40)/C40</f>
        <v>-4.1080426429030703E-2</v>
      </c>
      <c r="O40" s="279">
        <v>121.401</v>
      </c>
      <c r="P40" s="273">
        <f>O40/$B$37</f>
        <v>0.4012500123943587</v>
      </c>
      <c r="Q40" s="271">
        <f>O40-C40</f>
        <v>-12.361000000000004</v>
      </c>
      <c r="R40" s="272">
        <f>ROUND((P40-D40)*100,2)</f>
        <v>-4.09</v>
      </c>
      <c r="S40" s="387">
        <f>(O40-C40)/C40</f>
        <v>-9.2410400562192588E-2</v>
      </c>
    </row>
    <row r="41" spans="1:19" x14ac:dyDescent="0.3">
      <c r="A41" s="9" t="s">
        <v>3</v>
      </c>
      <c r="B41" s="242"/>
      <c r="C41" s="274">
        <f>'[2]SPM tables'!$G$843/1000</f>
        <v>174.73</v>
      </c>
      <c r="D41" s="275">
        <f>C41/$B$37</f>
        <v>0.57751101445347486</v>
      </c>
      <c r="E41" s="276">
        <v>170.065</v>
      </c>
      <c r="F41" s="263">
        <f>E41/$B$37</f>
        <v>0.56209243216980598</v>
      </c>
      <c r="G41" s="303">
        <f>E41-C41</f>
        <v>-4.664999999999992</v>
      </c>
      <c r="H41" s="278">
        <f>ROUND((F41-D41)*100,2)</f>
        <v>-1.54</v>
      </c>
      <c r="I41" s="263">
        <f>(E41-C41)/C41</f>
        <v>-2.6698334573341684E-2</v>
      </c>
      <c r="J41" s="163">
        <v>173.327</v>
      </c>
      <c r="K41" s="268">
        <f>J41/$B$37</f>
        <v>0.57287387170020854</v>
      </c>
      <c r="L41" s="266">
        <f>J41-C41</f>
        <v>-1.4029999999999916</v>
      </c>
      <c r="M41" s="267">
        <f>ROUND((K41-D41)*100,2)</f>
        <v>-0.46</v>
      </c>
      <c r="N41" s="268">
        <f>(J41-C41)/C41</f>
        <v>-8.0295312768270573E-3</v>
      </c>
      <c r="O41" s="279">
        <v>170.37299999999999</v>
      </c>
      <c r="P41" s="273">
        <f>O41/$B$37</f>
        <v>0.56311042216838469</v>
      </c>
      <c r="Q41" s="271">
        <f>O41-C41</f>
        <v>-4.3569999999999993</v>
      </c>
      <c r="R41" s="272">
        <f>ROUND((P41-D41)*100,2)</f>
        <v>-1.44</v>
      </c>
      <c r="S41" s="387">
        <f>(O41-C41)/C41</f>
        <v>-2.4935614948778113E-2</v>
      </c>
    </row>
    <row r="42" spans="1:19" x14ac:dyDescent="0.3">
      <c r="A42" s="4" t="s">
        <v>15</v>
      </c>
      <c r="B42" s="242">
        <f>'[1]ATTIS Summary Tables'!$J$842/1000</f>
        <v>581.31899999999996</v>
      </c>
      <c r="C42" s="274"/>
      <c r="D42" s="275"/>
      <c r="E42" s="276"/>
      <c r="F42" s="263"/>
      <c r="G42" s="277"/>
      <c r="H42" s="301"/>
      <c r="I42" s="263"/>
      <c r="J42" s="163"/>
      <c r="K42" s="268"/>
      <c r="L42" s="266"/>
      <c r="M42" s="267"/>
      <c r="N42" s="268"/>
      <c r="O42" s="279"/>
      <c r="P42" s="273"/>
      <c r="Q42" s="271"/>
      <c r="R42" s="272"/>
      <c r="S42" s="387"/>
    </row>
    <row r="43" spans="1:19" x14ac:dyDescent="0.3">
      <c r="A43" s="9" t="s">
        <v>0</v>
      </c>
      <c r="B43" s="242"/>
      <c r="C43" s="274">
        <f>'[2]SPM tables'!$D$842/1000</f>
        <v>16.640999999999998</v>
      </c>
      <c r="D43" s="275">
        <f>C43/$B$42</f>
        <v>2.8626279202984935E-2</v>
      </c>
      <c r="E43" s="276">
        <v>5.702</v>
      </c>
      <c r="F43" s="263">
        <f>E43/$B$42</f>
        <v>9.8087280821717512E-3</v>
      </c>
      <c r="G43" s="277">
        <f>E43-C43</f>
        <v>-10.938999999999998</v>
      </c>
      <c r="H43" s="278">
        <f>ROUND((F43-D43)*100,2)</f>
        <v>-1.88</v>
      </c>
      <c r="I43" s="263">
        <f>(E43-C43)/C43</f>
        <v>-0.65735232257676823</v>
      </c>
      <c r="J43" s="163">
        <v>5.702</v>
      </c>
      <c r="K43" s="268">
        <f>J43/$B$42</f>
        <v>9.8087280821717512E-3</v>
      </c>
      <c r="L43" s="266">
        <f>J43-C43</f>
        <v>-10.938999999999998</v>
      </c>
      <c r="M43" s="267">
        <f>ROUND((K43-D43)*100,2)</f>
        <v>-1.88</v>
      </c>
      <c r="N43" s="268">
        <f>(J43-C43)/C43</f>
        <v>-0.65735232257676823</v>
      </c>
      <c r="O43" s="279">
        <v>5.702</v>
      </c>
      <c r="P43" s="273">
        <f>O43/$B$42</f>
        <v>9.8087280821717512E-3</v>
      </c>
      <c r="Q43" s="271">
        <f>O43-C43</f>
        <v>-10.938999999999998</v>
      </c>
      <c r="R43" s="272">
        <f>ROUND((P43-D43)*100,2)</f>
        <v>-1.88</v>
      </c>
      <c r="S43" s="387">
        <f>(O43-C43)/C43</f>
        <v>-0.65735232257676823</v>
      </c>
    </row>
    <row r="44" spans="1:19" x14ac:dyDescent="0.3">
      <c r="A44" s="9" t="s">
        <v>1</v>
      </c>
      <c r="B44" s="242"/>
      <c r="C44" s="274">
        <f>'[2]SPM tables'!$E$842/1000</f>
        <v>86.447000000000003</v>
      </c>
      <c r="D44" s="275">
        <f>C44/$B$42</f>
        <v>0.14870836838293605</v>
      </c>
      <c r="E44" s="276">
        <v>39.630000000000003</v>
      </c>
      <c r="F44" s="263">
        <f>E44/$B$42</f>
        <v>6.8172552419583754E-2</v>
      </c>
      <c r="G44" s="277">
        <f>E44-C44</f>
        <v>-46.817</v>
      </c>
      <c r="H44" s="278">
        <f>ROUND((F44-D44)*100,2)</f>
        <v>-8.0500000000000007</v>
      </c>
      <c r="I44" s="263">
        <f>(E44-C44)/C44</f>
        <v>-0.54156882251552974</v>
      </c>
      <c r="J44" s="163">
        <v>47.557000000000002</v>
      </c>
      <c r="K44" s="268">
        <f>J44/$B$42</f>
        <v>8.1808783129400556E-2</v>
      </c>
      <c r="L44" s="266">
        <f>J44-C44</f>
        <v>-38.89</v>
      </c>
      <c r="M44" s="267">
        <f>ROUND((K44-D44)*100,2)</f>
        <v>-6.69</v>
      </c>
      <c r="N44" s="268">
        <f>(J44-C44)/C44</f>
        <v>-0.4498710192372205</v>
      </c>
      <c r="O44" s="279">
        <v>43.863</v>
      </c>
      <c r="P44" s="273">
        <f>O44/$B$42</f>
        <v>7.5454268654559717E-2</v>
      </c>
      <c r="Q44" s="271">
        <f>O44-C44</f>
        <v>-42.584000000000003</v>
      </c>
      <c r="R44" s="272">
        <f>ROUND((P44-D44)*100,2)</f>
        <v>-7.33</v>
      </c>
      <c r="S44" s="387">
        <f>(O44-C44)/C44</f>
        <v>-0.4926024037849781</v>
      </c>
    </row>
    <row r="45" spans="1:19" x14ac:dyDescent="0.3">
      <c r="A45" s="9" t="s">
        <v>2</v>
      </c>
      <c r="B45" s="242"/>
      <c r="C45" s="274">
        <f>'[2]SPM tables'!$F$842/1000</f>
        <v>286.49099999999999</v>
      </c>
      <c r="D45" s="275">
        <f>C45/$B$42</f>
        <v>0.49282923833557823</v>
      </c>
      <c r="E45" s="276">
        <v>236.42699999999999</v>
      </c>
      <c r="F45" s="263">
        <f>E45/$B$42</f>
        <v>0.40670784887471423</v>
      </c>
      <c r="G45" s="277">
        <f>E45-C45</f>
        <v>-50.063999999999993</v>
      </c>
      <c r="H45" s="278">
        <f>ROUND((F45-D45)*100,2)</f>
        <v>-8.61</v>
      </c>
      <c r="I45" s="263">
        <f>(E45-C45)/C45</f>
        <v>-0.17474894499303642</v>
      </c>
      <c r="J45" s="163">
        <v>255.35300000000001</v>
      </c>
      <c r="K45" s="268">
        <f>J45/$B$42</f>
        <v>0.4392648442593482</v>
      </c>
      <c r="L45" s="266">
        <f>J45-C45</f>
        <v>-31.137999999999977</v>
      </c>
      <c r="M45" s="267">
        <f>ROUND((K45-D45)*100,2)</f>
        <v>-5.36</v>
      </c>
      <c r="N45" s="268">
        <f>(J45-C45)/C45</f>
        <v>-0.10868753294169792</v>
      </c>
      <c r="O45" s="279">
        <v>237.131</v>
      </c>
      <c r="P45" s="273">
        <f>O45/$B$42</f>
        <v>0.40791888790836017</v>
      </c>
      <c r="Q45" s="271">
        <f>O45-C45</f>
        <v>-49.359999999999985</v>
      </c>
      <c r="R45" s="272">
        <f>ROUND((P45-D45)*100,2)</f>
        <v>-8.49</v>
      </c>
      <c r="S45" s="387">
        <f>(O45-C45)/C45</f>
        <v>-0.17229162521684796</v>
      </c>
    </row>
    <row r="46" spans="1:19" x14ac:dyDescent="0.3">
      <c r="A46" s="9" t="s">
        <v>3</v>
      </c>
      <c r="B46" s="242"/>
      <c r="C46" s="274">
        <f>'[2]SPM tables'!$G$842/1000</f>
        <v>398.41899999999998</v>
      </c>
      <c r="D46" s="275">
        <f>C46/$B$42</f>
        <v>0.68537068287807557</v>
      </c>
      <c r="E46" s="276">
        <v>385.11099999999999</v>
      </c>
      <c r="F46" s="263">
        <f>E46/$B$42</f>
        <v>0.66247791660000799</v>
      </c>
      <c r="G46" s="277">
        <f>E46-C46</f>
        <v>-13.307999999999993</v>
      </c>
      <c r="H46" s="278">
        <f>ROUND((F46-D46)*100,2)</f>
        <v>-2.29</v>
      </c>
      <c r="I46" s="263">
        <f>(E46-C46)/C46</f>
        <v>-3.3402021489938968E-2</v>
      </c>
      <c r="J46" s="163">
        <v>394.11599999999999</v>
      </c>
      <c r="K46" s="268">
        <f>J46/$B$42</f>
        <v>0.677968550830095</v>
      </c>
      <c r="L46" s="266">
        <f>J46-C46</f>
        <v>-4.3029999999999973</v>
      </c>
      <c r="M46" s="267">
        <f>ROUND((K46-D46)*100,2)</f>
        <v>-0.74</v>
      </c>
      <c r="N46" s="268">
        <f>(J46-C46)/C46</f>
        <v>-1.0800187742050448E-2</v>
      </c>
      <c r="O46" s="279">
        <v>385.89100000000002</v>
      </c>
      <c r="P46" s="273">
        <f>O46/$B$42</f>
        <v>0.66381969280205888</v>
      </c>
      <c r="Q46" s="271">
        <f>O46-C46</f>
        <v>-12.527999999999963</v>
      </c>
      <c r="R46" s="272">
        <f>ROUND((P46-D46)*100,2)</f>
        <v>-2.16</v>
      </c>
      <c r="S46" s="387">
        <f>(O46-C46)/C46</f>
        <v>-3.1444283530654822E-2</v>
      </c>
    </row>
    <row r="47" spans="1:19" x14ac:dyDescent="0.3">
      <c r="A47" s="4" t="s">
        <v>17</v>
      </c>
      <c r="B47" s="242">
        <f>'[1]ATTIS Summary Tables'!$J$844/1000</f>
        <v>995.53099999999995</v>
      </c>
      <c r="C47" s="274"/>
      <c r="D47" s="275"/>
      <c r="E47" s="276"/>
      <c r="F47" s="263"/>
      <c r="G47" s="277"/>
      <c r="H47" s="301"/>
      <c r="I47" s="263"/>
      <c r="J47" s="163"/>
      <c r="K47" s="268"/>
      <c r="L47" s="266"/>
      <c r="M47" s="267"/>
      <c r="N47" s="268"/>
      <c r="O47" s="279"/>
      <c r="P47" s="273"/>
      <c r="Q47" s="271"/>
      <c r="R47" s="272"/>
      <c r="S47" s="387"/>
    </row>
    <row r="48" spans="1:19" x14ac:dyDescent="0.3">
      <c r="A48" s="9" t="s">
        <v>0</v>
      </c>
      <c r="B48" s="242"/>
      <c r="C48" s="274">
        <f>'[2]SPM tables'!$D$844/1000</f>
        <v>27.625</v>
      </c>
      <c r="D48" s="275">
        <f>C48/$B$47</f>
        <v>2.7749010327152043E-2</v>
      </c>
      <c r="E48" s="276">
        <v>6.3979999999999997</v>
      </c>
      <c r="F48" s="263">
        <f>E48/$B$47</f>
        <v>6.4267210162214936E-3</v>
      </c>
      <c r="G48" s="277">
        <f>E48-C48</f>
        <v>-21.227</v>
      </c>
      <c r="H48" s="278">
        <f t="shared" ref="H48:H51" si="0">ROUND((F48-D48)*100,2)</f>
        <v>-2.13</v>
      </c>
      <c r="I48" s="263">
        <f t="shared" ref="I48:I51" si="1">(E48-C48)/C48</f>
        <v>-0.7683981900452489</v>
      </c>
      <c r="J48" s="163">
        <v>7.36</v>
      </c>
      <c r="K48" s="268">
        <f>J48/$B$47</f>
        <v>7.3930394934964361E-3</v>
      </c>
      <c r="L48" s="266">
        <f>J48-C48</f>
        <v>-20.265000000000001</v>
      </c>
      <c r="M48" s="267">
        <f>ROUND((K48-D48)*100,2)</f>
        <v>-2.04</v>
      </c>
      <c r="N48" s="268">
        <f>(J48-C48)/C48</f>
        <v>-0.7335746606334842</v>
      </c>
      <c r="O48" s="279">
        <v>9.3460000000000001</v>
      </c>
      <c r="P48" s="273">
        <f>O48/$B$47</f>
        <v>9.3879547698665338E-3</v>
      </c>
      <c r="Q48" s="271">
        <f>O48-C48</f>
        <v>-18.279</v>
      </c>
      <c r="R48" s="272">
        <f>ROUND((P48-D48)*100,2)</f>
        <v>-1.84</v>
      </c>
      <c r="S48" s="387">
        <f>(O48-C48)/C48</f>
        <v>-0.66168325791855198</v>
      </c>
    </row>
    <row r="49" spans="1:19" x14ac:dyDescent="0.3">
      <c r="A49" s="9" t="s">
        <v>1</v>
      </c>
      <c r="B49" s="242"/>
      <c r="C49" s="274">
        <f>'[2]SPM tables'!$E$844/1000</f>
        <v>189.03700000000001</v>
      </c>
      <c r="D49" s="275">
        <f t="shared" ref="D49:D51" si="2">C49/$B$47</f>
        <v>0.18988559874077252</v>
      </c>
      <c r="E49" s="276">
        <v>88.265000000000001</v>
      </c>
      <c r="F49" s="263">
        <f t="shared" ref="F49:F51" si="3">E49/$B$47</f>
        <v>8.8661227023568337E-2</v>
      </c>
      <c r="G49" s="277">
        <f>E49-C49</f>
        <v>-100.77200000000001</v>
      </c>
      <c r="H49" s="278">
        <f t="shared" si="0"/>
        <v>-10.119999999999999</v>
      </c>
      <c r="I49" s="263">
        <f t="shared" si="1"/>
        <v>-0.53308082544687019</v>
      </c>
      <c r="J49" s="163">
        <v>100.746</v>
      </c>
      <c r="K49" s="268">
        <f t="shared" ref="K49:K51" si="4">J49/$B$47</f>
        <v>0.10119825500160216</v>
      </c>
      <c r="L49" s="266">
        <f>J49-C49</f>
        <v>-88.291000000000011</v>
      </c>
      <c r="M49" s="267">
        <f>ROUND((K49-D49)*100,2)</f>
        <v>-8.8699999999999992</v>
      </c>
      <c r="N49" s="268">
        <f>(J49-C49)/C49</f>
        <v>-0.46705671376503016</v>
      </c>
      <c r="O49" s="279">
        <v>93.200999999999993</v>
      </c>
      <c r="P49" s="273">
        <f t="shared" ref="P49:P51" si="5">O49/$B$47</f>
        <v>9.3619385031706692E-2</v>
      </c>
      <c r="Q49" s="271">
        <f>O49-C49</f>
        <v>-95.836000000000013</v>
      </c>
      <c r="R49" s="272">
        <f>ROUND((P49-D49)*100,2)</f>
        <v>-9.6300000000000008</v>
      </c>
      <c r="S49" s="387">
        <f>(O49-C49)/C49</f>
        <v>-0.5069695350645641</v>
      </c>
    </row>
    <row r="50" spans="1:19" x14ac:dyDescent="0.3">
      <c r="A50" s="9" t="s">
        <v>2</v>
      </c>
      <c r="B50" s="242"/>
      <c r="C50" s="274">
        <f>'[2]SPM tables'!$F$844/1000</f>
        <v>527.56299999999999</v>
      </c>
      <c r="D50" s="275">
        <f t="shared" si="2"/>
        <v>0.52993126281351366</v>
      </c>
      <c r="E50" s="276">
        <v>443.87799999999999</v>
      </c>
      <c r="F50" s="263">
        <f t="shared" si="3"/>
        <v>0.44587059569214821</v>
      </c>
      <c r="G50" s="277">
        <f>E50-C50</f>
        <v>-83.685000000000002</v>
      </c>
      <c r="H50" s="278">
        <f t="shared" si="0"/>
        <v>-8.41</v>
      </c>
      <c r="I50" s="263">
        <f t="shared" si="1"/>
        <v>-0.15862560490405886</v>
      </c>
      <c r="J50" s="163">
        <v>482.28699999999998</v>
      </c>
      <c r="K50" s="268">
        <f t="shared" si="4"/>
        <v>0.48445201605977112</v>
      </c>
      <c r="L50" s="266">
        <f>J50-C50</f>
        <v>-45.27600000000001</v>
      </c>
      <c r="M50" s="267">
        <f>ROUND((K50-D50)*100,2)</f>
        <v>-4.55</v>
      </c>
      <c r="N50" s="268">
        <f>(J50-C50)/C50</f>
        <v>-8.582102990543311E-2</v>
      </c>
      <c r="O50" s="279">
        <v>444.99099999999999</v>
      </c>
      <c r="P50" s="273">
        <f t="shared" si="5"/>
        <v>0.44698859201772723</v>
      </c>
      <c r="Q50" s="271">
        <f>O50-C50</f>
        <v>-82.572000000000003</v>
      </c>
      <c r="R50" s="272">
        <f>ROUND((P50-D50)*100,2)</f>
        <v>-8.2899999999999991</v>
      </c>
      <c r="S50" s="387">
        <f>(O50-C50)/C50</f>
        <v>-0.15651590426167114</v>
      </c>
    </row>
    <row r="51" spans="1:19" x14ac:dyDescent="0.3">
      <c r="A51" s="9" t="s">
        <v>3</v>
      </c>
      <c r="B51" s="242"/>
      <c r="C51" s="274">
        <f>'[2]SPM tables'!$G$844/1000</f>
        <v>715.94</v>
      </c>
      <c r="D51" s="275">
        <f t="shared" si="2"/>
        <v>0.71915389877361935</v>
      </c>
      <c r="E51" s="276">
        <v>694.87400000000002</v>
      </c>
      <c r="F51" s="263">
        <f t="shared" si="3"/>
        <v>0.69799333220160908</v>
      </c>
      <c r="G51" s="277">
        <f>E51-C51</f>
        <v>-21.066000000000031</v>
      </c>
      <c r="H51" s="278">
        <f t="shared" si="0"/>
        <v>-2.12</v>
      </c>
      <c r="I51" s="263">
        <f t="shared" si="1"/>
        <v>-2.9424253429058342E-2</v>
      </c>
      <c r="J51" s="163">
        <v>706.43899999999996</v>
      </c>
      <c r="K51" s="268">
        <f t="shared" si="4"/>
        <v>0.70961024819920226</v>
      </c>
      <c r="L51" s="266">
        <f>J51-C51</f>
        <v>-9.50100000000009</v>
      </c>
      <c r="M51" s="267">
        <f>ROUND((K51-D51)*100,2)</f>
        <v>-0.95</v>
      </c>
      <c r="N51" s="268">
        <f>(J51-C51)/C51</f>
        <v>-1.3270665139536958E-2</v>
      </c>
      <c r="O51" s="279">
        <v>692.09299999999996</v>
      </c>
      <c r="P51" s="273">
        <f t="shared" si="5"/>
        <v>0.6951998481212539</v>
      </c>
      <c r="Q51" s="271">
        <f>O51-C51</f>
        <v>-23.847000000000094</v>
      </c>
      <c r="R51" s="272">
        <f>ROUND((P51-D51)*100,2)</f>
        <v>-2.4</v>
      </c>
      <c r="S51" s="387">
        <f>(O51-C51)/C51</f>
        <v>-3.3308657150040631E-2</v>
      </c>
    </row>
    <row r="52" spans="1:19" x14ac:dyDescent="0.3">
      <c r="A52" s="4" t="s">
        <v>18</v>
      </c>
      <c r="B52" s="242">
        <f>'[1]ATTIS Summary Tables'!$J$841/1000</f>
        <v>1910.53</v>
      </c>
      <c r="C52" s="274"/>
      <c r="D52" s="275"/>
      <c r="E52" s="276"/>
      <c r="F52" s="263"/>
      <c r="G52" s="277"/>
      <c r="H52" s="301"/>
      <c r="I52" s="263"/>
      <c r="J52" s="163"/>
      <c r="K52" s="268"/>
      <c r="L52" s="266"/>
      <c r="M52" s="267"/>
      <c r="N52" s="268"/>
      <c r="O52" s="279"/>
      <c r="P52" s="273"/>
      <c r="Q52" s="271"/>
      <c r="R52" s="272"/>
      <c r="S52" s="387"/>
    </row>
    <row r="53" spans="1:19" x14ac:dyDescent="0.3">
      <c r="A53" s="9" t="s">
        <v>0</v>
      </c>
      <c r="B53" s="242"/>
      <c r="C53" s="274">
        <f>'[2]SPM tables'!$D$841/1000</f>
        <v>26.66</v>
      </c>
      <c r="D53" s="275">
        <f>C53/$B$52</f>
        <v>1.3954243063443129E-2</v>
      </c>
      <c r="E53" s="276">
        <v>13.473000000000001</v>
      </c>
      <c r="F53" s="263">
        <f>E53/$B$52</f>
        <v>7.051969872234407E-3</v>
      </c>
      <c r="G53" s="277">
        <f>E53-C53</f>
        <v>-13.186999999999999</v>
      </c>
      <c r="H53" s="278">
        <f t="shared" ref="H53:H56" si="6">ROUND((F53-D53)*100,2)</f>
        <v>-0.69</v>
      </c>
      <c r="I53" s="263">
        <f t="shared" ref="I53:I56" si="7">(E53-C53)/C53</f>
        <v>-0.49463615903975994</v>
      </c>
      <c r="J53" s="163">
        <v>15.927</v>
      </c>
      <c r="K53" s="268">
        <f>J53/$B$52</f>
        <v>8.3364302052310098E-3</v>
      </c>
      <c r="L53" s="266">
        <f>J53-C53</f>
        <v>-10.733000000000001</v>
      </c>
      <c r="M53" s="267">
        <f>ROUND((K53-D53)*100,2)</f>
        <v>-0.56000000000000005</v>
      </c>
      <c r="N53" s="268">
        <f>(J53-C53)/C53</f>
        <v>-0.40258814703675921</v>
      </c>
      <c r="O53" s="279">
        <v>14.694000000000001</v>
      </c>
      <c r="P53" s="273">
        <f>O53/$B$52</f>
        <v>7.6910595489209808E-3</v>
      </c>
      <c r="Q53" s="271">
        <f>O53-C53</f>
        <v>-11.965999999999999</v>
      </c>
      <c r="R53" s="272">
        <f>ROUND((P53-D53)*100,2)</f>
        <v>-0.63</v>
      </c>
      <c r="S53" s="387">
        <f>(O53-C53)/C53</f>
        <v>-0.44883720930232557</v>
      </c>
    </row>
    <row r="54" spans="1:19" x14ac:dyDescent="0.3">
      <c r="A54" s="9" t="s">
        <v>1</v>
      </c>
      <c r="B54" s="242"/>
      <c r="C54" s="274">
        <f>'[2]SPM tables'!$E$841/1000</f>
        <v>165.70500000000001</v>
      </c>
      <c r="D54" s="275">
        <f t="shared" ref="D54:D56" si="8">C54/$B$52</f>
        <v>8.6732477375387987E-2</v>
      </c>
      <c r="E54" s="276">
        <v>88.364000000000004</v>
      </c>
      <c r="F54" s="263">
        <f t="shared" ref="F54:F56" si="9">E54/$B$52</f>
        <v>4.6251040287250141E-2</v>
      </c>
      <c r="G54" s="277">
        <f>E54-C54</f>
        <v>-77.341000000000008</v>
      </c>
      <c r="H54" s="278">
        <f t="shared" si="6"/>
        <v>-4.05</v>
      </c>
      <c r="I54" s="263">
        <f t="shared" si="7"/>
        <v>-0.46673908451766694</v>
      </c>
      <c r="J54" s="163">
        <v>107.43</v>
      </c>
      <c r="K54" s="268">
        <f t="shared" ref="K54:K56" si="10">J54/$B$52</f>
        <v>5.6230470078983325E-2</v>
      </c>
      <c r="L54" s="266">
        <f>J54-C54</f>
        <v>-58.275000000000006</v>
      </c>
      <c r="M54" s="267">
        <f>ROUND((K54-D54)*100,2)</f>
        <v>-3.05</v>
      </c>
      <c r="N54" s="268">
        <f>(J54-C54)/C54</f>
        <v>-0.35167918892006883</v>
      </c>
      <c r="O54" s="279">
        <v>95.57</v>
      </c>
      <c r="P54" s="273">
        <f t="shared" ref="P54:P56" si="11">O54/$B$52</f>
        <v>5.0022768551135022E-2</v>
      </c>
      <c r="Q54" s="271">
        <f>O54-C54</f>
        <v>-70.135000000000019</v>
      </c>
      <c r="R54" s="272">
        <f>ROUND((P54-D54)*100,2)</f>
        <v>-3.67</v>
      </c>
      <c r="S54" s="387">
        <f>(O54-C54)/C54</f>
        <v>-0.42325216499200397</v>
      </c>
    </row>
    <row r="55" spans="1:19" x14ac:dyDescent="0.3">
      <c r="A55" s="9" t="s">
        <v>2</v>
      </c>
      <c r="B55" s="242"/>
      <c r="C55" s="274">
        <f>'[2]SPM tables'!$F$841/1000</f>
        <v>439.315</v>
      </c>
      <c r="D55" s="275">
        <f t="shared" si="8"/>
        <v>0.2299440469398544</v>
      </c>
      <c r="E55" s="276">
        <v>351.42200000000003</v>
      </c>
      <c r="F55" s="263">
        <f t="shared" si="9"/>
        <v>0.18393953510282487</v>
      </c>
      <c r="G55" s="277">
        <f>E55-C55</f>
        <v>-87.892999999999972</v>
      </c>
      <c r="H55" s="278">
        <f t="shared" si="6"/>
        <v>-4.5999999999999996</v>
      </c>
      <c r="I55" s="263">
        <f t="shared" si="7"/>
        <v>-0.20006828813038474</v>
      </c>
      <c r="J55" s="163">
        <v>399.18400000000003</v>
      </c>
      <c r="K55" s="268">
        <f t="shared" si="10"/>
        <v>0.2089388808341141</v>
      </c>
      <c r="L55" s="266">
        <f>J55-C55</f>
        <v>-40.130999999999972</v>
      </c>
      <c r="M55" s="267">
        <f>ROUND((K55-D55)*100,2)</f>
        <v>-2.1</v>
      </c>
      <c r="N55" s="268">
        <f>(J55-C55)/C55</f>
        <v>-9.134903201575173E-2</v>
      </c>
      <c r="O55" s="279">
        <v>351.96300000000002</v>
      </c>
      <c r="P55" s="273">
        <f t="shared" si="11"/>
        <v>0.184222702600849</v>
      </c>
      <c r="Q55" s="271">
        <f>O55-C55</f>
        <v>-87.351999999999975</v>
      </c>
      <c r="R55" s="272">
        <f>ROUND((P55-D55)*100,2)</f>
        <v>-4.57</v>
      </c>
      <c r="S55" s="387">
        <f>(O55-C55)/C55</f>
        <v>-0.19883682551244547</v>
      </c>
    </row>
    <row r="56" spans="1:19" x14ac:dyDescent="0.3">
      <c r="A56" s="9" t="s">
        <v>3</v>
      </c>
      <c r="B56" s="242"/>
      <c r="C56" s="274">
        <f>'[2]SPM tables'!$G$841/1000</f>
        <v>697.38400000000001</v>
      </c>
      <c r="D56" s="275">
        <f t="shared" si="8"/>
        <v>0.3650212244769776</v>
      </c>
      <c r="E56" s="276">
        <v>652.726</v>
      </c>
      <c r="F56" s="263">
        <f t="shared" si="9"/>
        <v>0.34164655880828881</v>
      </c>
      <c r="G56" s="277">
        <f>E56-C56</f>
        <v>-44.658000000000015</v>
      </c>
      <c r="H56" s="278">
        <f t="shared" si="6"/>
        <v>-2.34</v>
      </c>
      <c r="I56" s="263">
        <f t="shared" si="7"/>
        <v>-6.4036456242185097E-2</v>
      </c>
      <c r="J56" s="163">
        <v>683.25800000000004</v>
      </c>
      <c r="K56" s="268">
        <f t="shared" si="10"/>
        <v>0.35762746463023354</v>
      </c>
      <c r="L56" s="266">
        <f>J56-C56</f>
        <v>-14.125999999999976</v>
      </c>
      <c r="M56" s="267">
        <f>ROUND((K56-D56)*100,2)</f>
        <v>-0.74</v>
      </c>
      <c r="N56" s="268">
        <f>(J56-C56)/C56</f>
        <v>-2.025569843873673E-2</v>
      </c>
      <c r="O56" s="279">
        <v>648.87099999999998</v>
      </c>
      <c r="P56" s="273">
        <f t="shared" si="11"/>
        <v>0.33962879410425378</v>
      </c>
      <c r="Q56" s="271">
        <f>O56-C56</f>
        <v>-48.513000000000034</v>
      </c>
      <c r="R56" s="272">
        <f>ROUND((P56-D56)*100,2)</f>
        <v>-2.54</v>
      </c>
      <c r="S56" s="387">
        <f>(O56-C56)/C56</f>
        <v>-6.956425728149776E-2</v>
      </c>
    </row>
    <row r="57" spans="1:19" x14ac:dyDescent="0.3">
      <c r="A57" s="4" t="s">
        <v>52</v>
      </c>
      <c r="B57" s="242">
        <f>'[1]ATTIS Summary Tables'!$J$845/1000</f>
        <v>203.99799999999999</v>
      </c>
      <c r="C57" s="274"/>
      <c r="D57" s="275"/>
      <c r="E57" s="276"/>
      <c r="F57" s="263"/>
      <c r="G57" s="277"/>
      <c r="H57" s="301"/>
      <c r="I57" s="263"/>
      <c r="J57" s="163"/>
      <c r="K57" s="268"/>
      <c r="L57" s="266"/>
      <c r="M57" s="267"/>
      <c r="N57" s="268"/>
      <c r="O57" s="279"/>
      <c r="P57" s="273"/>
      <c r="Q57" s="271"/>
      <c r="R57" s="272"/>
      <c r="S57" s="387"/>
    </row>
    <row r="58" spans="1:19" x14ac:dyDescent="0.3">
      <c r="A58" s="9" t="s">
        <v>0</v>
      </c>
      <c r="B58" s="242"/>
      <c r="C58" s="274">
        <f>'[2]SPM tables'!$D$845/1000</f>
        <v>5.0090000000000003</v>
      </c>
      <c r="D58" s="275">
        <f>C58/$B$57</f>
        <v>2.4554162295708785E-2</v>
      </c>
      <c r="E58" s="276">
        <v>1.6930000000000001</v>
      </c>
      <c r="F58" s="263">
        <f>E58/$B$57</f>
        <v>8.2991009715781532E-3</v>
      </c>
      <c r="G58" s="277">
        <f>E58-C58</f>
        <v>-3.3160000000000003</v>
      </c>
      <c r="H58" s="278">
        <f t="shared" ref="H58:H61" si="12">ROUND((F58-D58)*100,2)</f>
        <v>-1.63</v>
      </c>
      <c r="I58" s="263">
        <f t="shared" ref="I58:I61" si="13">(E58-C58)/C58</f>
        <v>-0.66200838490716707</v>
      </c>
      <c r="J58" s="163">
        <v>1.8320000000000001</v>
      </c>
      <c r="K58" s="268">
        <f>J58/$B$57</f>
        <v>8.9804802007862825E-3</v>
      </c>
      <c r="L58" s="266">
        <f>J58-C58</f>
        <v>-3.1770000000000005</v>
      </c>
      <c r="M58" s="267">
        <f>ROUND((K58-D58)*100,2)</f>
        <v>-1.56</v>
      </c>
      <c r="N58" s="268">
        <f>(J58-C58)/C58</f>
        <v>-0.63425833499700546</v>
      </c>
      <c r="O58" s="279">
        <v>2.782</v>
      </c>
      <c r="P58" s="273">
        <f>O58/$B$57</f>
        <v>1.3637388601849038E-2</v>
      </c>
      <c r="Q58" s="271">
        <f>O58-C58</f>
        <v>-2.2270000000000003</v>
      </c>
      <c r="R58" s="272">
        <f>ROUND((P58-D58)*100,2)</f>
        <v>-1.0900000000000001</v>
      </c>
      <c r="S58" s="387">
        <f>(O58-C58)/C58</f>
        <v>-0.44459972050309449</v>
      </c>
    </row>
    <row r="59" spans="1:19" x14ac:dyDescent="0.3">
      <c r="A59" s="9" t="s">
        <v>1</v>
      </c>
      <c r="B59" s="242"/>
      <c r="C59" s="274">
        <f>'[2]SPM tables'!$E$845/1000</f>
        <v>31.039000000000001</v>
      </c>
      <c r="D59" s="280">
        <f t="shared" ref="D59:D61" si="14">C59/$B$57</f>
        <v>0.15215345248482828</v>
      </c>
      <c r="E59" s="276">
        <v>12.282999999999999</v>
      </c>
      <c r="F59" s="263">
        <f t="shared" ref="F59:F61" si="15">E59/$B$57</f>
        <v>6.021137462131982E-2</v>
      </c>
      <c r="G59" s="277">
        <f>E59-C59</f>
        <v>-18.756</v>
      </c>
      <c r="H59" s="278">
        <f t="shared" si="12"/>
        <v>-9.19</v>
      </c>
      <c r="I59" s="263">
        <f t="shared" si="13"/>
        <v>-0.60427204484680563</v>
      </c>
      <c r="J59" s="163">
        <v>18.177</v>
      </c>
      <c r="K59" s="268">
        <f t="shared" ref="K59:K61" si="16">J59/$B$57</f>
        <v>8.9103814743281801E-2</v>
      </c>
      <c r="L59" s="266">
        <f>J59-C59</f>
        <v>-12.862000000000002</v>
      </c>
      <c r="M59" s="267">
        <f>ROUND((K59-D59)*100,2)</f>
        <v>-6.3</v>
      </c>
      <c r="N59" s="268">
        <f>(J59-C59)/C59</f>
        <v>-0.41438190663359004</v>
      </c>
      <c r="O59" s="279">
        <v>14.712999999999999</v>
      </c>
      <c r="P59" s="273">
        <f t="shared" ref="P59:P61" si="17">O59/$B$57</f>
        <v>7.2123256110354028E-2</v>
      </c>
      <c r="Q59" s="271">
        <f>O59-C59</f>
        <v>-16.326000000000001</v>
      </c>
      <c r="R59" s="272">
        <f>ROUND((P59-D59)*100,2)</f>
        <v>-8</v>
      </c>
      <c r="S59" s="387">
        <f>(O59-C59)/C59</f>
        <v>-0.52598344018815035</v>
      </c>
    </row>
    <row r="60" spans="1:19" x14ac:dyDescent="0.3">
      <c r="A60" s="9" t="s">
        <v>2</v>
      </c>
      <c r="B60" s="242"/>
      <c r="C60" s="274">
        <f>'[2]SPM tables'!$F$845/1000</f>
        <v>73.614000000000004</v>
      </c>
      <c r="D60" s="280">
        <f t="shared" si="14"/>
        <v>0.3608564789850881</v>
      </c>
      <c r="E60" s="276">
        <v>62.475999999999999</v>
      </c>
      <c r="F60" s="263">
        <f t="shared" si="15"/>
        <v>0.30625790448925971</v>
      </c>
      <c r="G60" s="277">
        <f>E60-C60</f>
        <v>-11.138000000000005</v>
      </c>
      <c r="H60" s="278">
        <f t="shared" si="12"/>
        <v>-5.46</v>
      </c>
      <c r="I60" s="263">
        <f t="shared" si="13"/>
        <v>-0.15130274132637819</v>
      </c>
      <c r="J60" s="163">
        <v>69.367999999999995</v>
      </c>
      <c r="K60" s="268">
        <f t="shared" si="16"/>
        <v>0.34004254943675916</v>
      </c>
      <c r="L60" s="266">
        <f>J60-C60</f>
        <v>-4.2460000000000093</v>
      </c>
      <c r="M60" s="267">
        <f>ROUND((K60-D60)*100,2)</f>
        <v>-2.08</v>
      </c>
      <c r="N60" s="268">
        <f>(J60-C60)/C60</f>
        <v>-5.7679245795636824E-2</v>
      </c>
      <c r="O60" s="279">
        <v>62.046999999999997</v>
      </c>
      <c r="P60" s="273">
        <f t="shared" si="17"/>
        <v>0.30415494269551663</v>
      </c>
      <c r="Q60" s="271">
        <f>O60-C60</f>
        <v>-11.567000000000007</v>
      </c>
      <c r="R60" s="272">
        <f>ROUND((P60-D60)*100,2)</f>
        <v>-5.67</v>
      </c>
      <c r="S60" s="387">
        <f>(O60-C60)/C60</f>
        <v>-0.15713043714510835</v>
      </c>
    </row>
    <row r="61" spans="1:19" ht="13.5" thickBot="1" x14ac:dyDescent="0.35">
      <c r="A61" s="12" t="s">
        <v>3</v>
      </c>
      <c r="B61" s="302"/>
      <c r="C61" s="281">
        <f>'[2]SPM tables'!$G$845/1000</f>
        <v>104.47</v>
      </c>
      <c r="D61" s="282">
        <f t="shared" si="14"/>
        <v>0.51211286385160637</v>
      </c>
      <c r="E61" s="283">
        <v>101.14400000000001</v>
      </c>
      <c r="F61" s="284">
        <f t="shared" si="15"/>
        <v>0.49580878243904358</v>
      </c>
      <c r="G61" s="304">
        <f>E61-C61</f>
        <v>-3.3259999999999934</v>
      </c>
      <c r="H61" s="286">
        <f t="shared" si="12"/>
        <v>-1.63</v>
      </c>
      <c r="I61" s="284">
        <f t="shared" si="13"/>
        <v>-3.1836890973485146E-2</v>
      </c>
      <c r="J61" s="287">
        <v>103.37</v>
      </c>
      <c r="K61" s="288">
        <f t="shared" si="16"/>
        <v>0.50672065412406009</v>
      </c>
      <c r="L61" s="289">
        <f>J61-C61</f>
        <v>-1.0999999999999943</v>
      </c>
      <c r="M61" s="290">
        <f>ROUND((K61-D61)*100,2)</f>
        <v>-0.54</v>
      </c>
      <c r="N61" s="288">
        <f>(J61-C61)/C61</f>
        <v>-1.0529338566095475E-2</v>
      </c>
      <c r="O61" s="291">
        <v>101.01300000000001</v>
      </c>
      <c r="P61" s="292">
        <f t="shared" si="17"/>
        <v>0.49516661928058125</v>
      </c>
      <c r="Q61" s="293">
        <f>O61-C61</f>
        <v>-3.4569999999999936</v>
      </c>
      <c r="R61" s="294">
        <f>ROUND((P61-D61)*100,2)</f>
        <v>-1.69</v>
      </c>
      <c r="S61" s="410">
        <f>(O61-C61)/C61</f>
        <v>-3.3090839475447435E-2</v>
      </c>
    </row>
    <row r="62" spans="1:19" ht="12.75" customHeight="1" x14ac:dyDescent="0.3">
      <c r="A62" s="460" t="s">
        <v>76</v>
      </c>
      <c r="B62" s="455"/>
      <c r="C62" s="455"/>
      <c r="D62" s="455"/>
      <c r="E62" s="455"/>
      <c r="F62" s="455"/>
      <c r="G62" s="455"/>
      <c r="H62" s="455"/>
      <c r="I62" s="455"/>
    </row>
    <row r="63" spans="1:19" ht="54" customHeight="1" x14ac:dyDescent="0.3">
      <c r="A63" s="455" t="s">
        <v>122</v>
      </c>
      <c r="B63" s="455"/>
      <c r="C63" s="455"/>
      <c r="D63" s="455"/>
      <c r="E63" s="455"/>
      <c r="F63" s="455"/>
      <c r="G63" s="455"/>
      <c r="H63" s="455"/>
      <c r="I63" s="455"/>
    </row>
    <row r="64" spans="1:19" ht="28" customHeight="1" x14ac:dyDescent="0.3">
      <c r="A64" s="448" t="s">
        <v>120</v>
      </c>
      <c r="B64" s="448"/>
      <c r="C64" s="448"/>
      <c r="D64" s="448"/>
      <c r="E64" s="448"/>
      <c r="F64" s="448"/>
      <c r="G64" s="448"/>
      <c r="H64" s="448"/>
      <c r="I64" s="448"/>
    </row>
  </sheetData>
  <mergeCells count="9">
    <mergeCell ref="O6:S6"/>
    <mergeCell ref="J6:N6"/>
    <mergeCell ref="A64:I64"/>
    <mergeCell ref="A2:I2"/>
    <mergeCell ref="E6:I6"/>
    <mergeCell ref="E5:G5"/>
    <mergeCell ref="A62:I62"/>
    <mergeCell ref="A63:I63"/>
    <mergeCell ref="B6:D6"/>
  </mergeCell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B820-5BD0-4C50-8B31-2ED327BA7BA8}">
  <dimension ref="A1:S50"/>
  <sheetViews>
    <sheetView zoomScaleNormal="100" workbookViewId="0">
      <selection activeCell="E26" sqref="E26"/>
    </sheetView>
  </sheetViews>
  <sheetFormatPr defaultColWidth="9.1796875" defaultRowHeight="13" x14ac:dyDescent="0.3"/>
  <cols>
    <col min="1" max="1" width="48.81640625" style="1" customWidth="1"/>
    <col min="2" max="9" width="13.54296875" style="13" customWidth="1"/>
    <col min="10" max="19" width="13.54296875" style="1" customWidth="1"/>
    <col min="20" max="16384" width="9.1796875" style="1"/>
  </cols>
  <sheetData>
    <row r="1" spans="1:19" s="20" customFormat="1" x14ac:dyDescent="0.3">
      <c r="A1" s="18" t="s">
        <v>71</v>
      </c>
      <c r="B1" s="19"/>
      <c r="C1" s="15"/>
      <c r="D1" s="15"/>
      <c r="E1" s="15"/>
      <c r="F1" s="15"/>
      <c r="G1" s="15"/>
      <c r="H1" s="15"/>
      <c r="I1" s="15"/>
    </row>
    <row r="2" spans="1:19" s="20" customFormat="1" x14ac:dyDescent="0.3">
      <c r="A2" s="449" t="s">
        <v>203</v>
      </c>
      <c r="B2" s="450"/>
      <c r="C2" s="450"/>
      <c r="D2" s="450"/>
      <c r="E2" s="450"/>
      <c r="F2" s="450"/>
      <c r="G2" s="450"/>
      <c r="H2" s="450"/>
      <c r="I2" s="450"/>
    </row>
    <row r="3" spans="1:19" s="20" customFormat="1" x14ac:dyDescent="0.3">
      <c r="A3" s="24" t="s">
        <v>118</v>
      </c>
      <c r="B3" s="19"/>
      <c r="C3" s="15"/>
      <c r="D3" s="15"/>
      <c r="E3" s="15"/>
      <c r="F3" s="15"/>
      <c r="G3" s="15"/>
      <c r="H3" s="15"/>
      <c r="I3" s="15"/>
    </row>
    <row r="4" spans="1:19" s="20" customFormat="1" x14ac:dyDescent="0.3">
      <c r="A4" s="23" t="s">
        <v>119</v>
      </c>
      <c r="B4" s="19"/>
      <c r="C4" s="15"/>
      <c r="D4" s="15"/>
      <c r="E4" s="15"/>
      <c r="F4" s="15"/>
      <c r="G4" s="15"/>
      <c r="H4" s="15"/>
      <c r="I4" s="15"/>
    </row>
    <row r="5" spans="1:19" s="20" customFormat="1" x14ac:dyDescent="0.3">
      <c r="A5" s="20" t="s">
        <v>100</v>
      </c>
      <c r="B5" s="15"/>
      <c r="C5" s="15"/>
      <c r="D5" s="15"/>
      <c r="E5" s="451"/>
      <c r="F5" s="451"/>
      <c r="G5" s="451"/>
      <c r="H5" s="15"/>
      <c r="I5" s="15"/>
    </row>
    <row r="6" spans="1:19" s="18" customFormat="1" ht="15" customHeight="1" x14ac:dyDescent="0.3">
      <c r="B6" s="456" t="s">
        <v>129</v>
      </c>
      <c r="C6" s="456"/>
      <c r="D6" s="456"/>
      <c r="E6" s="465" t="s">
        <v>195</v>
      </c>
      <c r="F6" s="466"/>
      <c r="G6" s="466"/>
      <c r="H6" s="466"/>
      <c r="I6" s="466"/>
      <c r="J6" s="447" t="s">
        <v>196</v>
      </c>
      <c r="K6" s="464"/>
      <c r="L6" s="464"/>
      <c r="M6" s="464"/>
      <c r="N6" s="464"/>
      <c r="O6" s="461" t="s">
        <v>197</v>
      </c>
      <c r="P6" s="462"/>
      <c r="Q6" s="462"/>
      <c r="R6" s="462"/>
      <c r="S6" s="463"/>
    </row>
    <row r="7" spans="1:19" s="20" customFormat="1" ht="55.9" customHeight="1" thickBot="1" x14ac:dyDescent="0.35">
      <c r="A7" s="21"/>
      <c r="B7" s="234" t="s">
        <v>63</v>
      </c>
      <c r="C7" s="235" t="s">
        <v>88</v>
      </c>
      <c r="D7" s="235" t="s">
        <v>87</v>
      </c>
      <c r="E7" s="236" t="s">
        <v>89</v>
      </c>
      <c r="F7" s="237" t="s">
        <v>86</v>
      </c>
      <c r="G7" s="237" t="s">
        <v>64</v>
      </c>
      <c r="H7" s="237" t="s">
        <v>65</v>
      </c>
      <c r="I7" s="237" t="s">
        <v>68</v>
      </c>
      <c r="J7" s="238" t="s">
        <v>89</v>
      </c>
      <c r="K7" s="239" t="s">
        <v>86</v>
      </c>
      <c r="L7" s="239" t="s">
        <v>64</v>
      </c>
      <c r="M7" s="239" t="s">
        <v>65</v>
      </c>
      <c r="N7" s="239" t="s">
        <v>68</v>
      </c>
      <c r="O7" s="240" t="s">
        <v>89</v>
      </c>
      <c r="P7" s="241" t="s">
        <v>86</v>
      </c>
      <c r="Q7" s="241" t="s">
        <v>64</v>
      </c>
      <c r="R7" s="241" t="s">
        <v>65</v>
      </c>
      <c r="S7" s="307" t="s">
        <v>68</v>
      </c>
    </row>
    <row r="8" spans="1:19" ht="14.5" x14ac:dyDescent="0.3">
      <c r="A8" s="1" t="s">
        <v>84</v>
      </c>
      <c r="B8" s="308">
        <f>'[1]ATTIS Summary Tables'!$C$172</f>
        <v>8068</v>
      </c>
      <c r="C8" s="309"/>
      <c r="D8" s="310"/>
      <c r="E8" s="311"/>
      <c r="F8" s="312"/>
      <c r="G8" s="248"/>
      <c r="H8" s="296"/>
      <c r="I8" s="247"/>
      <c r="J8" s="313"/>
      <c r="K8" s="314"/>
      <c r="L8" s="252"/>
      <c r="M8" s="297"/>
      <c r="N8" s="251"/>
      <c r="O8" s="315"/>
      <c r="P8" s="316"/>
      <c r="Q8" s="256"/>
      <c r="R8" s="298"/>
      <c r="S8" s="409"/>
    </row>
    <row r="9" spans="1:19" ht="14.5" x14ac:dyDescent="0.3">
      <c r="A9" s="8" t="s">
        <v>82</v>
      </c>
      <c r="B9" s="317"/>
      <c r="C9" s="318"/>
      <c r="D9" s="319"/>
      <c r="E9" s="320"/>
      <c r="F9" s="321"/>
      <c r="G9" s="261"/>
      <c r="H9" s="322"/>
      <c r="I9" s="261"/>
      <c r="J9" s="323"/>
      <c r="K9" s="324"/>
      <c r="L9" s="265"/>
      <c r="M9" s="325"/>
      <c r="N9" s="265"/>
      <c r="O9" s="326"/>
      <c r="P9" s="327"/>
      <c r="Q9" s="270"/>
      <c r="R9" s="328"/>
      <c r="S9" s="412"/>
    </row>
    <row r="10" spans="1:19" x14ac:dyDescent="0.3">
      <c r="A10" s="4" t="s">
        <v>0</v>
      </c>
      <c r="B10" s="242"/>
      <c r="C10" s="274">
        <f>+'[2]fam pov'!$H16</f>
        <v>436.64299999999997</v>
      </c>
      <c r="D10" s="280">
        <f>C10/$B$8</f>
        <v>5.4120352007932568E-2</v>
      </c>
      <c r="E10" s="276">
        <v>326.58</v>
      </c>
      <c r="F10" s="263">
        <f>E10/$B$8</f>
        <v>4.0478433316807137E-2</v>
      </c>
      <c r="G10" s="277">
        <f>E10-C10</f>
        <v>-110.06299999999999</v>
      </c>
      <c r="H10" s="278">
        <f>ROUND((F10-D10)*100,2)</f>
        <v>-1.36</v>
      </c>
      <c r="I10" s="263">
        <f>(E10-C10)/C10</f>
        <v>-0.25206633336615952</v>
      </c>
      <c r="J10" s="163">
        <v>328.608</v>
      </c>
      <c r="K10" s="268">
        <f>J10/$B$8</f>
        <v>4.0729796727813586E-2</v>
      </c>
      <c r="L10" s="266">
        <f>J10-C10</f>
        <v>-108.03499999999997</v>
      </c>
      <c r="M10" s="267">
        <f>ROUND((K10-D10)*100,2)</f>
        <v>-1.34</v>
      </c>
      <c r="N10" s="268">
        <f>(J10-C10)/C10</f>
        <v>-0.24742180683075185</v>
      </c>
      <c r="O10" s="279">
        <f>+'[3]fam pov'!$H16</f>
        <v>343.21899999999999</v>
      </c>
      <c r="P10" s="273">
        <f>O10/$B$8</f>
        <v>4.2540778383738223E-2</v>
      </c>
      <c r="Q10" s="271">
        <f>O10-C10</f>
        <v>-93.423999999999978</v>
      </c>
      <c r="R10" s="272">
        <f>ROUND((P10-D10)*100,2)</f>
        <v>-1.1599999999999999</v>
      </c>
      <c r="S10" s="387">
        <f>(O10-C10)/C10</f>
        <v>-0.21395968789148109</v>
      </c>
    </row>
    <row r="11" spans="1:19" x14ac:dyDescent="0.3">
      <c r="A11" s="4" t="s">
        <v>1</v>
      </c>
      <c r="B11" s="242"/>
      <c r="C11" s="274">
        <f>+'[2]fam pov'!$H17</f>
        <v>1287.0119999999999</v>
      </c>
      <c r="D11" s="280">
        <f t="shared" ref="D11:D13" si="0">C11/$B$8</f>
        <v>0.15952057511155179</v>
      </c>
      <c r="E11" s="276">
        <v>1075.721</v>
      </c>
      <c r="F11" s="263">
        <f t="shared" ref="F11:F13" si="1">E11/$B$8</f>
        <v>0.13333180466038672</v>
      </c>
      <c r="G11" s="277">
        <f t="shared" ref="G11:G47" si="2">E11-C11</f>
        <v>-211.29099999999994</v>
      </c>
      <c r="H11" s="278">
        <f t="shared" ref="H11:H13" si="3">ROUND((F11-D11)*100,2)</f>
        <v>-2.62</v>
      </c>
      <c r="I11" s="263">
        <f t="shared" ref="I11:I13" si="4">(E11-C11)/C11</f>
        <v>-0.16417174043443258</v>
      </c>
      <c r="J11" s="163">
        <v>1098.1479999999999</v>
      </c>
      <c r="K11" s="268">
        <f t="shared" ref="K11:K13" si="5">J11/$B$8</f>
        <v>0.13611155180961823</v>
      </c>
      <c r="L11" s="266">
        <f t="shared" ref="L11:L47" si="6">J11-C11</f>
        <v>-188.86400000000003</v>
      </c>
      <c r="M11" s="267">
        <f t="shared" ref="M11:M47" si="7">ROUND((K11-D11)*100,2)</f>
        <v>-2.34</v>
      </c>
      <c r="N11" s="268">
        <f t="shared" ref="N11:N47" si="8">(J11-C11)/C11</f>
        <v>-0.14674610648540964</v>
      </c>
      <c r="O11" s="279">
        <f>+'[3]fam pov'!$H17</f>
        <v>1098.3900000000001</v>
      </c>
      <c r="P11" s="273">
        <f t="shared" ref="P11:P13" si="9">O11/$B$8</f>
        <v>0.13614154685176005</v>
      </c>
      <c r="Q11" s="271">
        <f>O11-C11</f>
        <v>-188.62199999999984</v>
      </c>
      <c r="R11" s="272">
        <f>ROUND((P11-D11)*100,2)</f>
        <v>-2.34</v>
      </c>
      <c r="S11" s="387">
        <f>(O11-C11)/C11</f>
        <v>-0.14655807405059149</v>
      </c>
    </row>
    <row r="12" spans="1:19" x14ac:dyDescent="0.3">
      <c r="A12" s="4" t="s">
        <v>2</v>
      </c>
      <c r="B12" s="242"/>
      <c r="C12" s="274">
        <f>+'[2]fam pov'!$H18</f>
        <v>2621.837</v>
      </c>
      <c r="D12" s="280">
        <f t="shared" si="0"/>
        <v>0.32496740208230046</v>
      </c>
      <c r="E12" s="276">
        <v>2512.69</v>
      </c>
      <c r="F12" s="263">
        <f t="shared" si="1"/>
        <v>0.31143901834407539</v>
      </c>
      <c r="G12" s="277">
        <f t="shared" si="2"/>
        <v>-109.14699999999993</v>
      </c>
      <c r="H12" s="278">
        <f t="shared" si="3"/>
        <v>-1.35</v>
      </c>
      <c r="I12" s="263">
        <f t="shared" si="4"/>
        <v>-4.1629971657276915E-2</v>
      </c>
      <c r="J12" s="163">
        <v>2559.9780000000001</v>
      </c>
      <c r="K12" s="268">
        <f t="shared" si="5"/>
        <v>0.31730019831432821</v>
      </c>
      <c r="L12" s="266">
        <f t="shared" si="6"/>
        <v>-61.858999999999924</v>
      </c>
      <c r="M12" s="267">
        <f t="shared" si="7"/>
        <v>-0.77</v>
      </c>
      <c r="N12" s="268">
        <f t="shared" si="8"/>
        <v>-2.3593762693866906E-2</v>
      </c>
      <c r="O12" s="279">
        <f>+'[3]fam pov'!$H18</f>
        <v>2515.4119999999998</v>
      </c>
      <c r="P12" s="273">
        <f t="shared" si="9"/>
        <v>0.31177640059494294</v>
      </c>
      <c r="Q12" s="271">
        <f>O12-C12</f>
        <v>-106.42500000000018</v>
      </c>
      <c r="R12" s="272">
        <f>ROUND((P12-D12)*100,2)</f>
        <v>-1.32</v>
      </c>
      <c r="S12" s="387">
        <f>(O12-C12)/C12</f>
        <v>-4.0591768290706168E-2</v>
      </c>
    </row>
    <row r="13" spans="1:19" x14ac:dyDescent="0.3">
      <c r="A13" s="4" t="s">
        <v>3</v>
      </c>
      <c r="B13" s="242"/>
      <c r="C13" s="274">
        <f>+'[2]fam pov'!$H19</f>
        <v>3563.5839999999998</v>
      </c>
      <c r="D13" s="280">
        <f t="shared" si="0"/>
        <v>0.44169360436291522</v>
      </c>
      <c r="E13" s="276">
        <v>3521.3760000000002</v>
      </c>
      <c r="F13" s="263">
        <f t="shared" si="1"/>
        <v>0.43646207238472984</v>
      </c>
      <c r="G13" s="277">
        <f t="shared" si="2"/>
        <v>-42.207999999999629</v>
      </c>
      <c r="H13" s="278">
        <f t="shared" si="3"/>
        <v>-0.52</v>
      </c>
      <c r="I13" s="263">
        <f t="shared" si="4"/>
        <v>-1.1844255670695466E-2</v>
      </c>
      <c r="J13" s="163">
        <v>3545.567</v>
      </c>
      <c r="K13" s="268">
        <f t="shared" si="5"/>
        <v>0.4394604610808131</v>
      </c>
      <c r="L13" s="266">
        <f t="shared" si="6"/>
        <v>-18.016999999999825</v>
      </c>
      <c r="M13" s="267">
        <f t="shared" si="7"/>
        <v>-0.22</v>
      </c>
      <c r="N13" s="268">
        <f t="shared" si="8"/>
        <v>-5.0558651065892727E-3</v>
      </c>
      <c r="O13" s="279">
        <f>+'[3]fam pov'!$H19</f>
        <v>3520.1010000000001</v>
      </c>
      <c r="P13" s="273">
        <f t="shared" si="9"/>
        <v>0.43630404065443729</v>
      </c>
      <c r="Q13" s="271">
        <f>O13-C13</f>
        <v>-43.48299999999972</v>
      </c>
      <c r="R13" s="272">
        <f>ROUND((P13-D13)*100,2)</f>
        <v>-0.54</v>
      </c>
      <c r="S13" s="387">
        <f>(O13-C13)/C13</f>
        <v>-1.2202041540202145E-2</v>
      </c>
    </row>
    <row r="14" spans="1:19" x14ac:dyDescent="0.3">
      <c r="A14" s="5" t="s">
        <v>112</v>
      </c>
      <c r="B14" s="242">
        <f>'[1]ATTIS Summary Tables'!$C$172-'[1]ATTIS Summary Tables'!$D$172</f>
        <v>5981</v>
      </c>
      <c r="C14" s="274"/>
      <c r="D14" s="280"/>
      <c r="E14" s="276"/>
      <c r="F14" s="263"/>
      <c r="G14" s="277"/>
      <c r="H14" s="301"/>
      <c r="I14" s="263"/>
      <c r="J14" s="163"/>
      <c r="K14" s="268"/>
      <c r="L14" s="266"/>
      <c r="M14" s="267"/>
      <c r="N14" s="268"/>
      <c r="O14" s="279"/>
      <c r="P14" s="273"/>
      <c r="Q14" s="271"/>
      <c r="R14" s="272"/>
      <c r="S14" s="387"/>
    </row>
    <row r="15" spans="1:19" x14ac:dyDescent="0.3">
      <c r="A15" s="8" t="s">
        <v>13</v>
      </c>
      <c r="B15" s="243"/>
      <c r="C15" s="274"/>
      <c r="D15" s="329"/>
      <c r="E15" s="260"/>
      <c r="F15" s="330"/>
      <c r="G15" s="277"/>
      <c r="H15" s="262"/>
      <c r="I15" s="263"/>
      <c r="J15" s="264"/>
      <c r="K15" s="331"/>
      <c r="L15" s="266"/>
      <c r="M15" s="267"/>
      <c r="N15" s="268"/>
      <c r="O15" s="269"/>
      <c r="P15" s="332"/>
      <c r="Q15" s="271"/>
      <c r="R15" s="272"/>
      <c r="S15" s="387"/>
    </row>
    <row r="16" spans="1:19" x14ac:dyDescent="0.3">
      <c r="A16" s="4" t="s">
        <v>0</v>
      </c>
      <c r="B16" s="242"/>
      <c r="C16" s="274">
        <f>+'[2]fam pov'!$I16</f>
        <v>389.267</v>
      </c>
      <c r="D16" s="280">
        <f>C16/$B$14</f>
        <v>6.5083932452767099E-2</v>
      </c>
      <c r="E16" s="276">
        <v>309.19299999999998</v>
      </c>
      <c r="F16" s="263">
        <f>E16/$B$14</f>
        <v>5.1695870255810066E-2</v>
      </c>
      <c r="G16" s="277">
        <f t="shared" si="2"/>
        <v>-80.074000000000012</v>
      </c>
      <c r="H16" s="278">
        <f t="shared" ref="H16:H19" si="10">ROUND((F16-D16)*100,2)</f>
        <v>-1.34</v>
      </c>
      <c r="I16" s="263">
        <f t="shared" ref="I16:I19" si="11">(E16-C16)/C16</f>
        <v>-0.20570456781592072</v>
      </c>
      <c r="J16" s="163">
        <v>309.19299999999998</v>
      </c>
      <c r="K16" s="268">
        <f>J16/$B$14</f>
        <v>5.1695870255810066E-2</v>
      </c>
      <c r="L16" s="266">
        <f t="shared" si="6"/>
        <v>-80.074000000000012</v>
      </c>
      <c r="M16" s="267">
        <f t="shared" si="7"/>
        <v>-1.34</v>
      </c>
      <c r="N16" s="268">
        <f t="shared" si="8"/>
        <v>-0.20570456781592072</v>
      </c>
      <c r="O16" s="279">
        <f>+'[3]fam pov'!$I16</f>
        <v>322.11599999999999</v>
      </c>
      <c r="P16" s="273">
        <f>O16/$B$14</f>
        <v>5.3856545728139103E-2</v>
      </c>
      <c r="Q16" s="271">
        <f>O16-C16</f>
        <v>-67.15100000000001</v>
      </c>
      <c r="R16" s="272">
        <f>ROUND((P16-D16)*100,2)</f>
        <v>-1.1200000000000001</v>
      </c>
      <c r="S16" s="387">
        <f>(O16-C16)/C16</f>
        <v>-0.1725062746135686</v>
      </c>
    </row>
    <row r="17" spans="1:19" x14ac:dyDescent="0.3">
      <c r="A17" s="4" t="s">
        <v>1</v>
      </c>
      <c r="B17" s="242"/>
      <c r="C17" s="274">
        <f>+'[2]fam pov'!$I17</f>
        <v>1022.561</v>
      </c>
      <c r="D17" s="280">
        <f t="shared" ref="D17:D19" si="12">C17/$B$14</f>
        <v>0.17096823273700051</v>
      </c>
      <c r="E17" s="276">
        <v>928.53899999999999</v>
      </c>
      <c r="F17" s="263">
        <f t="shared" ref="F17:F19" si="13">E17/$B$14</f>
        <v>0.15524811904363819</v>
      </c>
      <c r="G17" s="277">
        <f t="shared" si="2"/>
        <v>-94.022000000000048</v>
      </c>
      <c r="H17" s="278">
        <f t="shared" si="10"/>
        <v>-1.57</v>
      </c>
      <c r="I17" s="263">
        <f t="shared" si="11"/>
        <v>-9.1947570853963767E-2</v>
      </c>
      <c r="J17" s="163">
        <v>928.53899999999999</v>
      </c>
      <c r="K17" s="268">
        <f t="shared" ref="K17:K19" si="14">J17/$B$14</f>
        <v>0.15524811904363819</v>
      </c>
      <c r="L17" s="266">
        <f t="shared" si="6"/>
        <v>-94.022000000000048</v>
      </c>
      <c r="M17" s="267">
        <f t="shared" si="7"/>
        <v>-1.57</v>
      </c>
      <c r="N17" s="268">
        <f t="shared" si="8"/>
        <v>-9.1947570853963767E-2</v>
      </c>
      <c r="O17" s="279">
        <f>+'[3]fam pov'!$I17</f>
        <v>940.904</v>
      </c>
      <c r="P17" s="273">
        <f t="shared" ref="P17:P19" si="15">O17/$B$14</f>
        <v>0.15731549908042133</v>
      </c>
      <c r="Q17" s="271">
        <f>O17-C17</f>
        <v>-81.657000000000039</v>
      </c>
      <c r="R17" s="272">
        <f>ROUND((P17-D17)*100,2)</f>
        <v>-1.37</v>
      </c>
      <c r="S17" s="387">
        <f>(O17-C17)/C17</f>
        <v>-7.9855382710664724E-2</v>
      </c>
    </row>
    <row r="18" spans="1:19" x14ac:dyDescent="0.3">
      <c r="A18" s="4" t="s">
        <v>2</v>
      </c>
      <c r="B18" s="242"/>
      <c r="C18" s="274">
        <f>+'[2]fam pov'!$I18</f>
        <v>1905.3989999999999</v>
      </c>
      <c r="D18" s="280">
        <f t="shared" si="12"/>
        <v>0.31857532185253301</v>
      </c>
      <c r="E18" s="276">
        <v>1890.345</v>
      </c>
      <c r="F18" s="263">
        <f t="shared" si="13"/>
        <v>0.31605835144624644</v>
      </c>
      <c r="G18" s="277">
        <f t="shared" si="2"/>
        <v>-15.05399999999986</v>
      </c>
      <c r="H18" s="278">
        <f t="shared" si="10"/>
        <v>-0.25</v>
      </c>
      <c r="I18" s="263">
        <f t="shared" si="11"/>
        <v>-7.9007074108886702E-3</v>
      </c>
      <c r="J18" s="163">
        <v>1890.345</v>
      </c>
      <c r="K18" s="268">
        <f t="shared" si="14"/>
        <v>0.31605835144624644</v>
      </c>
      <c r="L18" s="266">
        <f t="shared" si="6"/>
        <v>-15.05399999999986</v>
      </c>
      <c r="M18" s="267">
        <f t="shared" si="7"/>
        <v>-0.25</v>
      </c>
      <c r="N18" s="268">
        <f t="shared" si="8"/>
        <v>-7.9007074108886702E-3</v>
      </c>
      <c r="O18" s="279">
        <f>+'[3]fam pov'!$I18</f>
        <v>1891.5219999999999</v>
      </c>
      <c r="P18" s="273">
        <f t="shared" si="15"/>
        <v>0.3162551412807223</v>
      </c>
      <c r="Q18" s="271">
        <f>O18-C18</f>
        <v>-13.876999999999953</v>
      </c>
      <c r="R18" s="272">
        <f>ROUND((P18-D18)*100,2)</f>
        <v>-0.23</v>
      </c>
      <c r="S18" s="387">
        <f>(O18-C18)/C18</f>
        <v>-7.2829890222467593E-3</v>
      </c>
    </row>
    <row r="19" spans="1:19" x14ac:dyDescent="0.3">
      <c r="A19" s="4" t="s">
        <v>3</v>
      </c>
      <c r="B19" s="242"/>
      <c r="C19" s="274">
        <f>+'[2]fam pov'!$I19</f>
        <v>2527.0650000000001</v>
      </c>
      <c r="D19" s="280">
        <f t="shared" si="12"/>
        <v>0.42251546564119713</v>
      </c>
      <c r="E19" s="276">
        <v>2523.634</v>
      </c>
      <c r="F19" s="263">
        <f t="shared" si="13"/>
        <v>0.4219418157498746</v>
      </c>
      <c r="G19" s="277">
        <f t="shared" si="2"/>
        <v>-3.43100000000004</v>
      </c>
      <c r="H19" s="278">
        <f t="shared" si="10"/>
        <v>-0.06</v>
      </c>
      <c r="I19" s="263">
        <f t="shared" si="11"/>
        <v>-1.3577015233086763E-3</v>
      </c>
      <c r="J19" s="163">
        <v>2523.634</v>
      </c>
      <c r="K19" s="268">
        <f t="shared" si="14"/>
        <v>0.4219418157498746</v>
      </c>
      <c r="L19" s="266">
        <f t="shared" si="6"/>
        <v>-3.43100000000004</v>
      </c>
      <c r="M19" s="267">
        <f t="shared" si="7"/>
        <v>-0.06</v>
      </c>
      <c r="N19" s="268">
        <f t="shared" si="8"/>
        <v>-1.3577015233086763E-3</v>
      </c>
      <c r="O19" s="279">
        <f>+'[3]fam pov'!$I19</f>
        <v>2524.2890000000002</v>
      </c>
      <c r="P19" s="273">
        <f t="shared" si="15"/>
        <v>0.42205132920916238</v>
      </c>
      <c r="Q19" s="271">
        <f>O19-C19</f>
        <v>-2.7759999999998399</v>
      </c>
      <c r="R19" s="272">
        <f>ROUND((P19-D19)*100,2)</f>
        <v>-0.05</v>
      </c>
      <c r="S19" s="387">
        <f>(O19-C19)/C19</f>
        <v>-1.098507557185842E-3</v>
      </c>
    </row>
    <row r="20" spans="1:19" x14ac:dyDescent="0.3">
      <c r="A20" s="1" t="s">
        <v>60</v>
      </c>
      <c r="B20" s="242">
        <f>'[1]ATTIS Summary Tables'!$D$172</f>
        <v>2087</v>
      </c>
      <c r="C20" s="274"/>
      <c r="D20" s="280"/>
      <c r="E20" s="276"/>
      <c r="F20" s="263"/>
      <c r="G20" s="277"/>
      <c r="H20" s="301"/>
      <c r="I20" s="263"/>
      <c r="J20" s="163"/>
      <c r="K20" s="268"/>
      <c r="L20" s="266"/>
      <c r="M20" s="267"/>
      <c r="N20" s="268"/>
      <c r="O20" s="279"/>
      <c r="P20" s="273"/>
      <c r="Q20" s="271"/>
      <c r="R20" s="272"/>
      <c r="S20" s="387"/>
    </row>
    <row r="21" spans="1:19" x14ac:dyDescent="0.3">
      <c r="A21" s="8" t="s">
        <v>13</v>
      </c>
      <c r="B21" s="243"/>
      <c r="C21" s="258"/>
      <c r="D21" s="329"/>
      <c r="E21" s="260"/>
      <c r="F21" s="330"/>
      <c r="G21" s="277"/>
      <c r="H21" s="262"/>
      <c r="I21" s="263"/>
      <c r="J21" s="264"/>
      <c r="K21" s="331"/>
      <c r="L21" s="266"/>
      <c r="M21" s="267"/>
      <c r="N21" s="268"/>
      <c r="O21" s="269"/>
      <c r="P21" s="332"/>
      <c r="Q21" s="271"/>
      <c r="R21" s="272"/>
      <c r="S21" s="387"/>
    </row>
    <row r="22" spans="1:19" x14ac:dyDescent="0.3">
      <c r="A22" s="4" t="s">
        <v>0</v>
      </c>
      <c r="B22" s="242"/>
      <c r="C22" s="274">
        <f>+'[2]fam pov'!$J16</f>
        <v>47.375999999999998</v>
      </c>
      <c r="D22" s="280">
        <f>C22/$B$20</f>
        <v>2.2700527072352657E-2</v>
      </c>
      <c r="E22" s="276">
        <v>17.387</v>
      </c>
      <c r="F22" s="263">
        <f>E22/$B$20</f>
        <v>8.3310972688068995E-3</v>
      </c>
      <c r="G22" s="277">
        <f t="shared" si="2"/>
        <v>-29.988999999999997</v>
      </c>
      <c r="H22" s="278">
        <f t="shared" ref="H22:H25" si="16">ROUND((F22-D22)*100,2)</f>
        <v>-1.44</v>
      </c>
      <c r="I22" s="263">
        <f t="shared" ref="I22:I25" si="17">(E22-C22)/C22</f>
        <v>-0.63299983113812897</v>
      </c>
      <c r="J22" s="163">
        <v>19.414999999999999</v>
      </c>
      <c r="K22" s="268">
        <f>J22/$B$20</f>
        <v>9.3028270244369902E-3</v>
      </c>
      <c r="L22" s="266">
        <f t="shared" si="6"/>
        <v>-27.960999999999999</v>
      </c>
      <c r="M22" s="267">
        <f t="shared" si="7"/>
        <v>-1.34</v>
      </c>
      <c r="N22" s="268">
        <f t="shared" si="8"/>
        <v>-0.59019334684228297</v>
      </c>
      <c r="O22" s="279">
        <f>+'[3]fam pov'!$J16</f>
        <v>21.103000000000002</v>
      </c>
      <c r="P22" s="273">
        <f>O22/$B$20</f>
        <v>1.0111643507426929E-2</v>
      </c>
      <c r="Q22" s="271">
        <f>O22-C22</f>
        <v>-26.272999999999996</v>
      </c>
      <c r="R22" s="272">
        <f>ROUND((P22-D22)*100,2)</f>
        <v>-1.26</v>
      </c>
      <c r="S22" s="387">
        <f>(O22-C22)/C22</f>
        <v>-0.55456349206349198</v>
      </c>
    </row>
    <row r="23" spans="1:19" x14ac:dyDescent="0.3">
      <c r="A23" s="4" t="s">
        <v>1</v>
      </c>
      <c r="B23" s="242"/>
      <c r="C23" s="274">
        <f>+'[2]fam pov'!$J17</f>
        <v>264.45100000000002</v>
      </c>
      <c r="D23" s="280">
        <f t="shared" ref="D23:D25" si="18">C23/$B$20</f>
        <v>0.12671346430282704</v>
      </c>
      <c r="E23" s="276">
        <v>147.18199999999999</v>
      </c>
      <c r="F23" s="263">
        <f t="shared" ref="F23:F25" si="19">E23/$B$20</f>
        <v>7.0523239099185425E-2</v>
      </c>
      <c r="G23" s="277">
        <f t="shared" si="2"/>
        <v>-117.26900000000003</v>
      </c>
      <c r="H23" s="278">
        <f t="shared" si="16"/>
        <v>-5.62</v>
      </c>
      <c r="I23" s="263">
        <f t="shared" si="17"/>
        <v>-0.4434432087607913</v>
      </c>
      <c r="J23" s="163">
        <v>169.60900000000001</v>
      </c>
      <c r="K23" s="268">
        <f t="shared" ref="K23:K25" si="20">J23/$B$20</f>
        <v>8.1269286056540491E-2</v>
      </c>
      <c r="L23" s="266">
        <f t="shared" si="6"/>
        <v>-94.842000000000013</v>
      </c>
      <c r="M23" s="267">
        <f t="shared" si="7"/>
        <v>-4.54</v>
      </c>
      <c r="N23" s="268">
        <f t="shared" si="8"/>
        <v>-0.35863732789817399</v>
      </c>
      <c r="O23" s="279">
        <f>+'[3]fam pov'!$J17</f>
        <v>157.48599999999999</v>
      </c>
      <c r="P23" s="273">
        <f t="shared" ref="P23:P25" si="21">O23/$B$20</f>
        <v>7.5460469573550543E-2</v>
      </c>
      <c r="Q23" s="271">
        <f>O23-C23</f>
        <v>-106.96500000000003</v>
      </c>
      <c r="R23" s="272">
        <f>ROUND((P23-D23)*100,2)</f>
        <v>-5.13</v>
      </c>
      <c r="S23" s="387">
        <f>(O23-C23)/C23</f>
        <v>-0.40447946878627805</v>
      </c>
    </row>
    <row r="24" spans="1:19" x14ac:dyDescent="0.3">
      <c r="A24" s="4" t="s">
        <v>2</v>
      </c>
      <c r="B24" s="242"/>
      <c r="C24" s="274">
        <f>+'[2]fam pov'!$J18</f>
        <v>716.43799999999999</v>
      </c>
      <c r="D24" s="280">
        <f t="shared" si="18"/>
        <v>0.34328605654048872</v>
      </c>
      <c r="E24" s="276">
        <v>622.34500000000003</v>
      </c>
      <c r="F24" s="263">
        <f t="shared" si="19"/>
        <v>0.29820076665069478</v>
      </c>
      <c r="G24" s="277">
        <f t="shared" si="2"/>
        <v>-94.092999999999961</v>
      </c>
      <c r="H24" s="278">
        <f t="shared" si="16"/>
        <v>-4.51</v>
      </c>
      <c r="I24" s="263">
        <f t="shared" si="17"/>
        <v>-0.1313344629961001</v>
      </c>
      <c r="J24" s="163">
        <v>669.63300000000004</v>
      </c>
      <c r="K24" s="268">
        <f t="shared" si="20"/>
        <v>0.32085912793483473</v>
      </c>
      <c r="L24" s="266">
        <f t="shared" si="6"/>
        <v>-46.80499999999995</v>
      </c>
      <c r="M24" s="267">
        <f t="shared" si="7"/>
        <v>-2.2400000000000002</v>
      </c>
      <c r="N24" s="268">
        <f t="shared" si="8"/>
        <v>-6.5330147200455518E-2</v>
      </c>
      <c r="O24" s="279">
        <f>+'[3]fam pov'!$J18</f>
        <v>623.89</v>
      </c>
      <c r="P24" s="273">
        <f t="shared" si="21"/>
        <v>0.29894106372783902</v>
      </c>
      <c r="Q24" s="271">
        <f>O24-C24</f>
        <v>-92.548000000000002</v>
      </c>
      <c r="R24" s="272">
        <f>ROUND((P24-D24)*100,2)</f>
        <v>-4.43</v>
      </c>
      <c r="S24" s="387">
        <f>(O24-C24)/C24</f>
        <v>-0.12917796096801118</v>
      </c>
    </row>
    <row r="25" spans="1:19" x14ac:dyDescent="0.3">
      <c r="A25" s="4" t="s">
        <v>3</v>
      </c>
      <c r="B25" s="242"/>
      <c r="C25" s="274">
        <f>+'[2]fam pov'!$J19</f>
        <v>1036.519</v>
      </c>
      <c r="D25" s="280">
        <f t="shared" si="18"/>
        <v>0.49665500718735028</v>
      </c>
      <c r="E25" s="276">
        <v>997.74199999999996</v>
      </c>
      <c r="F25" s="263">
        <f t="shared" si="19"/>
        <v>0.47807474844274078</v>
      </c>
      <c r="G25" s="277">
        <f t="shared" si="2"/>
        <v>-38.777000000000044</v>
      </c>
      <c r="H25" s="278">
        <f t="shared" si="16"/>
        <v>-1.86</v>
      </c>
      <c r="I25" s="263">
        <f t="shared" si="17"/>
        <v>-3.7410795171144998E-2</v>
      </c>
      <c r="J25" s="163">
        <v>1021.933</v>
      </c>
      <c r="K25" s="268">
        <f t="shared" si="20"/>
        <v>0.4896660277910877</v>
      </c>
      <c r="L25" s="266">
        <f t="shared" si="6"/>
        <v>-14.586000000000013</v>
      </c>
      <c r="M25" s="267">
        <f t="shared" si="7"/>
        <v>-0.7</v>
      </c>
      <c r="N25" s="268">
        <f t="shared" si="8"/>
        <v>-1.4072100945568785E-2</v>
      </c>
      <c r="O25" s="279">
        <f>+'[3]fam pov'!$J19</f>
        <v>995.81200000000001</v>
      </c>
      <c r="P25" s="273">
        <f t="shared" si="21"/>
        <v>0.4771499760421658</v>
      </c>
      <c r="Q25" s="271">
        <f>O25-C25</f>
        <v>-40.706999999999994</v>
      </c>
      <c r="R25" s="272">
        <f>ROUND((P25-D25)*100,2)</f>
        <v>-1.95</v>
      </c>
      <c r="S25" s="387">
        <f>(O25-C25)/C25</f>
        <v>-3.9272796735998081E-2</v>
      </c>
    </row>
    <row r="26" spans="1:19" x14ac:dyDescent="0.3">
      <c r="A26" s="8" t="s">
        <v>19</v>
      </c>
      <c r="B26" s="243"/>
      <c r="C26" s="258"/>
      <c r="D26" s="329"/>
      <c r="E26" s="260"/>
      <c r="F26" s="330"/>
      <c r="G26" s="277"/>
      <c r="H26" s="301"/>
      <c r="I26" s="263"/>
      <c r="J26" s="264"/>
      <c r="K26" s="331"/>
      <c r="L26" s="266"/>
      <c r="M26" s="267"/>
      <c r="N26" s="268"/>
      <c r="O26" s="269"/>
      <c r="P26" s="332"/>
      <c r="Q26" s="271"/>
      <c r="R26" s="272"/>
      <c r="S26" s="387"/>
    </row>
    <row r="27" spans="1:19" x14ac:dyDescent="0.3">
      <c r="A27" s="4" t="s">
        <v>6</v>
      </c>
      <c r="B27" s="242">
        <f>'[1]ATTIS Summary Tables'!$D$172-'[1]ATTIS Summary Tables'!$G$172-'[1]ATTIS Summary Tables'!$H$172</f>
        <v>1326</v>
      </c>
      <c r="C27" s="274"/>
      <c r="D27" s="280"/>
      <c r="E27" s="276"/>
      <c r="F27" s="263"/>
      <c r="G27" s="277"/>
      <c r="H27" s="301"/>
      <c r="I27" s="263"/>
      <c r="J27" s="163"/>
      <c r="K27" s="268"/>
      <c r="L27" s="266"/>
      <c r="M27" s="267"/>
      <c r="N27" s="268"/>
      <c r="O27" s="279"/>
      <c r="P27" s="273"/>
      <c r="Q27" s="271"/>
      <c r="R27" s="272"/>
      <c r="S27" s="387"/>
    </row>
    <row r="28" spans="1:19" x14ac:dyDescent="0.3">
      <c r="A28" s="9" t="s">
        <v>0</v>
      </c>
      <c r="B28" s="242"/>
      <c r="C28" s="274">
        <f>+'[2]fam pov 2'!$I16</f>
        <v>15.323</v>
      </c>
      <c r="D28" s="280">
        <f>C28/$B$27</f>
        <v>1.155580693815988E-2</v>
      </c>
      <c r="E28" s="276">
        <v>6.492</v>
      </c>
      <c r="F28" s="263">
        <f>E28/$B$27</f>
        <v>4.8959276018099547E-3</v>
      </c>
      <c r="G28" s="277">
        <f t="shared" si="2"/>
        <v>-8.8309999999999995</v>
      </c>
      <c r="H28" s="278">
        <f t="shared" ref="H28:H31" si="22">ROUND((F28-D28)*100,2)</f>
        <v>-0.67</v>
      </c>
      <c r="I28" s="263">
        <f t="shared" ref="I28:I31" si="23">(E28-C28)/C28</f>
        <v>-0.57632317431312396</v>
      </c>
      <c r="J28" s="163">
        <v>7.2729999999999997</v>
      </c>
      <c r="K28" s="268">
        <f>J28/$B$27</f>
        <v>5.4849170437405725E-3</v>
      </c>
      <c r="L28" s="266">
        <f t="shared" si="6"/>
        <v>-8.0500000000000007</v>
      </c>
      <c r="M28" s="267">
        <f t="shared" si="7"/>
        <v>-0.61</v>
      </c>
      <c r="N28" s="268">
        <f t="shared" si="8"/>
        <v>-0.52535404294198262</v>
      </c>
      <c r="O28" s="279">
        <f>+'[3]fam pov 2'!$I16</f>
        <v>7.625</v>
      </c>
      <c r="P28" s="273">
        <f>O28/$B$27</f>
        <v>5.7503770739064861E-3</v>
      </c>
      <c r="Q28" s="271">
        <f>O28-C28</f>
        <v>-7.6980000000000004</v>
      </c>
      <c r="R28" s="272">
        <f>ROUND((P28-D28)*100,2)</f>
        <v>-0.57999999999999996</v>
      </c>
      <c r="S28" s="387">
        <f>(O28-C28)/C28</f>
        <v>-0.50238204007048226</v>
      </c>
    </row>
    <row r="29" spans="1:19" x14ac:dyDescent="0.3">
      <c r="A29" s="9" t="s">
        <v>1</v>
      </c>
      <c r="B29" s="242"/>
      <c r="C29" s="274">
        <f>+'[2]fam pov 2'!$I17</f>
        <v>105.52800000000001</v>
      </c>
      <c r="D29" s="280">
        <f t="shared" ref="D29:D31" si="24">C29/$B$27</f>
        <v>7.9583710407239827E-2</v>
      </c>
      <c r="E29" s="276">
        <v>60.750999999999998</v>
      </c>
      <c r="F29" s="263">
        <f t="shared" ref="F29:F31" si="25">E29/$B$27</f>
        <v>4.5815233785822022E-2</v>
      </c>
      <c r="G29" s="277">
        <f t="shared" si="2"/>
        <v>-44.777000000000008</v>
      </c>
      <c r="H29" s="278">
        <f t="shared" si="22"/>
        <v>-3.38</v>
      </c>
      <c r="I29" s="263">
        <f t="shared" si="23"/>
        <v>-0.42431392616177704</v>
      </c>
      <c r="J29" s="163">
        <v>70.19</v>
      </c>
      <c r="K29" s="268">
        <f t="shared" ref="K29:K31" si="26">J29/$B$27</f>
        <v>5.2933634992458518E-2</v>
      </c>
      <c r="L29" s="266">
        <f t="shared" si="6"/>
        <v>-35.338000000000008</v>
      </c>
      <c r="M29" s="267">
        <f t="shared" si="7"/>
        <v>-2.67</v>
      </c>
      <c r="N29" s="268">
        <f t="shared" si="8"/>
        <v>-0.33486847092714733</v>
      </c>
      <c r="O29" s="279">
        <f>+'[3]fam pov 2'!$I17</f>
        <v>64.162999999999997</v>
      </c>
      <c r="P29" s="273">
        <f t="shared" ref="P29:P31" si="27">O29/$B$27</f>
        <v>4.8388386123680238E-2</v>
      </c>
      <c r="Q29" s="271">
        <f>O29-C29</f>
        <v>-41.365000000000009</v>
      </c>
      <c r="R29" s="272">
        <f>ROUND((P29-D29)*100,2)</f>
        <v>-3.12</v>
      </c>
      <c r="S29" s="387">
        <f>(O29-C29)/C29</f>
        <v>-0.39198127511181874</v>
      </c>
    </row>
    <row r="30" spans="1:19" x14ac:dyDescent="0.3">
      <c r="A30" s="9" t="s">
        <v>2</v>
      </c>
      <c r="B30" s="242"/>
      <c r="C30" s="274">
        <f>+'[2]fam pov 2'!$I18</f>
        <v>315.40499999999997</v>
      </c>
      <c r="D30" s="280">
        <f t="shared" si="24"/>
        <v>0.23786199095022623</v>
      </c>
      <c r="E30" s="276">
        <v>276.02300000000002</v>
      </c>
      <c r="F30" s="263">
        <f t="shared" si="25"/>
        <v>0.20816214177978887</v>
      </c>
      <c r="G30" s="277">
        <f t="shared" si="2"/>
        <v>-39.381999999999948</v>
      </c>
      <c r="H30" s="278">
        <f t="shared" si="22"/>
        <v>-2.97</v>
      </c>
      <c r="I30" s="263">
        <f t="shared" si="23"/>
        <v>-0.12486168576909037</v>
      </c>
      <c r="J30" s="163">
        <v>299.089</v>
      </c>
      <c r="K30" s="268">
        <f t="shared" si="26"/>
        <v>0.22555731523378583</v>
      </c>
      <c r="L30" s="266">
        <f t="shared" si="6"/>
        <v>-16.315999999999974</v>
      </c>
      <c r="M30" s="267">
        <f t="shared" si="7"/>
        <v>-1.23</v>
      </c>
      <c r="N30" s="268">
        <f t="shared" si="8"/>
        <v>-5.1730314991835814E-2</v>
      </c>
      <c r="O30" s="279">
        <f>+'[3]fam pov 2'!$I18</f>
        <v>274.97899999999998</v>
      </c>
      <c r="P30" s="273">
        <f t="shared" si="27"/>
        <v>0.20737481146304673</v>
      </c>
      <c r="Q30" s="271">
        <f>O30-C30</f>
        <v>-40.425999999999988</v>
      </c>
      <c r="R30" s="272">
        <f>ROUND((P30-D30)*100,2)</f>
        <v>-3.05</v>
      </c>
      <c r="S30" s="387">
        <f>(O30-C30)/C30</f>
        <v>-0.1281717157305686</v>
      </c>
    </row>
    <row r="31" spans="1:19" x14ac:dyDescent="0.3">
      <c r="A31" s="9" t="s">
        <v>3</v>
      </c>
      <c r="B31" s="242"/>
      <c r="C31" s="274">
        <f>+'[2]fam pov 2'!$I19</f>
        <v>494.04500000000002</v>
      </c>
      <c r="D31" s="280">
        <f t="shared" si="24"/>
        <v>0.37258295625942683</v>
      </c>
      <c r="E31" s="276">
        <v>472.209</v>
      </c>
      <c r="F31" s="263">
        <f t="shared" si="25"/>
        <v>0.35611538461538461</v>
      </c>
      <c r="G31" s="277">
        <f t="shared" si="2"/>
        <v>-21.836000000000013</v>
      </c>
      <c r="H31" s="278">
        <f t="shared" si="22"/>
        <v>-1.65</v>
      </c>
      <c r="I31" s="263">
        <f t="shared" si="23"/>
        <v>-4.4198402979485699E-2</v>
      </c>
      <c r="J31" s="163">
        <v>485.59800000000001</v>
      </c>
      <c r="K31" s="268">
        <f t="shared" si="26"/>
        <v>0.36621266968325794</v>
      </c>
      <c r="L31" s="266">
        <f t="shared" si="6"/>
        <v>-8.4470000000000027</v>
      </c>
      <c r="M31" s="267">
        <f t="shared" si="7"/>
        <v>-0.64</v>
      </c>
      <c r="N31" s="268">
        <f t="shared" si="8"/>
        <v>-1.7097632806728137E-2</v>
      </c>
      <c r="O31" s="279">
        <f>+'[3]fam pov 2'!$I19</f>
        <v>470.95499999999998</v>
      </c>
      <c r="P31" s="273">
        <f t="shared" si="27"/>
        <v>0.35516968325791853</v>
      </c>
      <c r="Q31" s="271">
        <f>O31-C31</f>
        <v>-23.090000000000032</v>
      </c>
      <c r="R31" s="272">
        <f>ROUND((P31-D31)*100,2)</f>
        <v>-1.74</v>
      </c>
      <c r="S31" s="387">
        <f>(O31-C31)/C31</f>
        <v>-4.6736633302634438E-2</v>
      </c>
    </row>
    <row r="32" spans="1:19" x14ac:dyDescent="0.3">
      <c r="A32" s="4" t="s">
        <v>90</v>
      </c>
      <c r="B32" s="242">
        <f>'[1]ATTIS Summary Tables'!$G$172+'[1]ATTIS Summary Tables'!$H$172</f>
        <v>761</v>
      </c>
      <c r="C32" s="274"/>
      <c r="D32" s="280"/>
      <c r="E32" s="276"/>
      <c r="F32" s="263"/>
      <c r="G32" s="277"/>
      <c r="H32" s="301"/>
      <c r="I32" s="263"/>
      <c r="J32" s="163"/>
      <c r="K32" s="268"/>
      <c r="L32" s="266"/>
      <c r="M32" s="267"/>
      <c r="N32" s="268"/>
      <c r="O32" s="279"/>
      <c r="P32" s="273"/>
      <c r="Q32" s="271"/>
      <c r="R32" s="272"/>
      <c r="S32" s="387"/>
    </row>
    <row r="33" spans="1:19" x14ac:dyDescent="0.3">
      <c r="A33" s="9" t="s">
        <v>0</v>
      </c>
      <c r="B33" s="242"/>
      <c r="C33" s="274">
        <f>+'[2]fam pov 2'!$H16</f>
        <v>32.052999999999997</v>
      </c>
      <c r="D33" s="280">
        <f>C33/$B$32</f>
        <v>4.2119579500657027E-2</v>
      </c>
      <c r="E33" s="276">
        <v>10.895</v>
      </c>
      <c r="F33" s="263">
        <f>E33/$B$32</f>
        <v>1.4316688567674112E-2</v>
      </c>
      <c r="G33" s="277">
        <f t="shared" si="2"/>
        <v>-21.157999999999998</v>
      </c>
      <c r="H33" s="278">
        <f t="shared" ref="H33:H36" si="28">ROUND((F33-D33)*100,2)</f>
        <v>-2.78</v>
      </c>
      <c r="I33" s="263">
        <f t="shared" ref="I33:I36" si="29">(E33-C33)/C33</f>
        <v>-0.66009421894986431</v>
      </c>
      <c r="J33" s="163">
        <v>12.141999999999999</v>
      </c>
      <c r="K33" s="268">
        <f>J33/$B$32</f>
        <v>1.5955321944809461E-2</v>
      </c>
      <c r="L33" s="266">
        <f t="shared" si="6"/>
        <v>-19.910999999999998</v>
      </c>
      <c r="M33" s="267">
        <f t="shared" si="7"/>
        <v>-2.62</v>
      </c>
      <c r="N33" s="268">
        <f t="shared" si="8"/>
        <v>-0.62118990422113374</v>
      </c>
      <c r="O33" s="279">
        <f>+'[3]fam pov 2'!$H16</f>
        <v>13.478</v>
      </c>
      <c r="P33" s="273">
        <f>O33/$B$32</f>
        <v>1.7710906701708277E-2</v>
      </c>
      <c r="Q33" s="271">
        <f>O33-C33</f>
        <v>-18.574999999999996</v>
      </c>
      <c r="R33" s="272">
        <f>ROUND((P33-D33)*100,2)</f>
        <v>-2.44</v>
      </c>
      <c r="S33" s="387">
        <f>(O33-C33)/C33</f>
        <v>-0.57950893832090589</v>
      </c>
    </row>
    <row r="34" spans="1:19" x14ac:dyDescent="0.3">
      <c r="A34" s="9" t="s">
        <v>1</v>
      </c>
      <c r="B34" s="242"/>
      <c r="C34" s="274">
        <f>+'[2]fam pov 2'!$H17</f>
        <v>158.923</v>
      </c>
      <c r="D34" s="280">
        <f t="shared" ref="D34:D36" si="30">C34/$B$32</f>
        <v>0.20883442838370564</v>
      </c>
      <c r="E34" s="276">
        <v>86.430999999999997</v>
      </c>
      <c r="F34" s="263">
        <f t="shared" ref="F34:F36" si="31">E34/$B$32</f>
        <v>0.11357555847568988</v>
      </c>
      <c r="G34" s="277">
        <f t="shared" si="2"/>
        <v>-72.492000000000004</v>
      </c>
      <c r="H34" s="278">
        <f t="shared" si="28"/>
        <v>-9.5299999999999994</v>
      </c>
      <c r="I34" s="263">
        <f t="shared" si="29"/>
        <v>-0.45614542891840704</v>
      </c>
      <c r="J34" s="163">
        <v>99.418999999999997</v>
      </c>
      <c r="K34" s="268">
        <f t="shared" ref="K34:K36" si="32">J34/$B$32</f>
        <v>0.13064257555847569</v>
      </c>
      <c r="L34" s="266">
        <f t="shared" si="6"/>
        <v>-59.504000000000005</v>
      </c>
      <c r="M34" s="267">
        <f t="shared" si="7"/>
        <v>-7.82</v>
      </c>
      <c r="N34" s="268">
        <f t="shared" si="8"/>
        <v>-0.37442031675717174</v>
      </c>
      <c r="O34" s="279">
        <f>+'[3]fam pov 2'!$H17</f>
        <v>93.322999999999993</v>
      </c>
      <c r="P34" s="273">
        <f t="shared" ref="P34:P36" si="33">O34/$B$32</f>
        <v>0.12263206307490143</v>
      </c>
      <c r="Q34" s="271">
        <f>O34-C34</f>
        <v>-65.600000000000009</v>
      </c>
      <c r="R34" s="272">
        <f>ROUND((P34-D34)*100,2)</f>
        <v>-8.6199999999999992</v>
      </c>
      <c r="S34" s="387">
        <f>(O34-C34)/C34</f>
        <v>-0.41277851538166288</v>
      </c>
    </row>
    <row r="35" spans="1:19" x14ac:dyDescent="0.3">
      <c r="A35" s="9" t="s">
        <v>2</v>
      </c>
      <c r="B35" s="242"/>
      <c r="C35" s="274">
        <f>+'[2]fam pov 2'!$H18</f>
        <v>401.03300000000002</v>
      </c>
      <c r="D35" s="280">
        <f t="shared" si="30"/>
        <v>0.52698160315374509</v>
      </c>
      <c r="E35" s="276">
        <v>346.322</v>
      </c>
      <c r="F35" s="263">
        <f t="shared" si="31"/>
        <v>0.4550880420499343</v>
      </c>
      <c r="G35" s="277">
        <f t="shared" si="2"/>
        <v>-54.711000000000013</v>
      </c>
      <c r="H35" s="278">
        <f t="shared" si="28"/>
        <v>-7.19</v>
      </c>
      <c r="I35" s="263">
        <f t="shared" si="29"/>
        <v>-0.13642518196756878</v>
      </c>
      <c r="J35" s="163">
        <v>370.54399999999998</v>
      </c>
      <c r="K35" s="268">
        <f t="shared" si="32"/>
        <v>0.4869172141918528</v>
      </c>
      <c r="L35" s="266">
        <f t="shared" si="6"/>
        <v>-30.489000000000033</v>
      </c>
      <c r="M35" s="267">
        <f t="shared" si="7"/>
        <v>-4.01</v>
      </c>
      <c r="N35" s="268">
        <f t="shared" si="8"/>
        <v>-7.6026162435510372E-2</v>
      </c>
      <c r="O35" s="279">
        <f>+'[3]fam pov 2'!$H18</f>
        <v>348.911</v>
      </c>
      <c r="P35" s="273">
        <f t="shared" si="33"/>
        <v>0.45849014454664916</v>
      </c>
      <c r="Q35" s="271">
        <f>O35-C35</f>
        <v>-52.122000000000014</v>
      </c>
      <c r="R35" s="272">
        <f>ROUND((P35-D35)*100,2)</f>
        <v>-6.85</v>
      </c>
      <c r="S35" s="387">
        <f>(O35-C35)/C35</f>
        <v>-0.12996935414292593</v>
      </c>
    </row>
    <row r="36" spans="1:19" x14ac:dyDescent="0.3">
      <c r="A36" s="9" t="s">
        <v>3</v>
      </c>
      <c r="B36" s="242"/>
      <c r="C36" s="274">
        <f>+'[2]fam pov 2'!$H19</f>
        <v>542.47400000000005</v>
      </c>
      <c r="D36" s="280">
        <f t="shared" si="30"/>
        <v>0.71284362680683322</v>
      </c>
      <c r="E36" s="276">
        <v>525.53300000000002</v>
      </c>
      <c r="F36" s="263">
        <f t="shared" si="31"/>
        <v>0.6905821287779238</v>
      </c>
      <c r="G36" s="277">
        <f t="shared" si="2"/>
        <v>-16.941000000000031</v>
      </c>
      <c r="H36" s="278">
        <f t="shared" si="28"/>
        <v>-2.23</v>
      </c>
      <c r="I36" s="263">
        <f t="shared" si="29"/>
        <v>-3.1229146466005799E-2</v>
      </c>
      <c r="J36" s="163">
        <v>536.33500000000004</v>
      </c>
      <c r="K36" s="268">
        <f t="shared" si="32"/>
        <v>0.70477660972404732</v>
      </c>
      <c r="L36" s="266">
        <f t="shared" si="6"/>
        <v>-6.13900000000001</v>
      </c>
      <c r="M36" s="267">
        <f t="shared" si="7"/>
        <v>-0.81</v>
      </c>
      <c r="N36" s="268">
        <f t="shared" si="8"/>
        <v>-1.1316671398076239E-2</v>
      </c>
      <c r="O36" s="279">
        <f>+'[3]fam pov 2'!$H19</f>
        <v>524.85699999999997</v>
      </c>
      <c r="P36" s="273">
        <f t="shared" si="33"/>
        <v>0.68969382391590006</v>
      </c>
      <c r="Q36" s="271">
        <f>O36-C36</f>
        <v>-17.617000000000075</v>
      </c>
      <c r="R36" s="272">
        <f>ROUND((P36-D36)*100,2)</f>
        <v>-2.31</v>
      </c>
      <c r="S36" s="387">
        <f>(O36-C36)/C36</f>
        <v>-3.2475289138281418E-2</v>
      </c>
    </row>
    <row r="37" spans="1:19" x14ac:dyDescent="0.3">
      <c r="A37" s="8" t="s">
        <v>59</v>
      </c>
      <c r="B37" s="243"/>
      <c r="C37" s="258"/>
      <c r="D37" s="280"/>
      <c r="E37" s="260"/>
      <c r="F37" s="263"/>
      <c r="G37" s="277"/>
      <c r="H37" s="301"/>
      <c r="I37" s="263"/>
      <c r="J37" s="264"/>
      <c r="K37" s="268"/>
      <c r="L37" s="266"/>
      <c r="M37" s="267"/>
      <c r="N37" s="268"/>
      <c r="O37" s="269"/>
      <c r="P37" s="273"/>
      <c r="Q37" s="271"/>
      <c r="R37" s="272"/>
      <c r="S37" s="387"/>
    </row>
    <row r="38" spans="1:19" x14ac:dyDescent="0.3">
      <c r="A38" s="4" t="s">
        <v>21</v>
      </c>
      <c r="B38" s="242">
        <f>('[1]ATTIS Summary Tables'!$H$2651-'[1]ATTIS Summary Tables'!$H$2631)/1000</f>
        <v>1213.3720000000001</v>
      </c>
      <c r="C38" s="274"/>
      <c r="D38" s="280"/>
      <c r="E38" s="276"/>
      <c r="F38" s="263"/>
      <c r="G38" s="277"/>
      <c r="H38" s="301"/>
      <c r="I38" s="263"/>
      <c r="J38" s="163"/>
      <c r="K38" s="268"/>
      <c r="L38" s="266"/>
      <c r="M38" s="267"/>
      <c r="N38" s="268"/>
      <c r="O38" s="279"/>
      <c r="P38" s="273"/>
      <c r="Q38" s="271"/>
      <c r="R38" s="272"/>
      <c r="S38" s="387"/>
    </row>
    <row r="39" spans="1:19" x14ac:dyDescent="0.3">
      <c r="A39" s="9" t="s">
        <v>0</v>
      </c>
      <c r="B39" s="242"/>
      <c r="C39" s="274">
        <f>('[2]SPM tables'!$C$2651-'[2]SPM tables'!$C$2631)/1000</f>
        <v>22.436</v>
      </c>
      <c r="D39" s="280">
        <f>C39/$B$38</f>
        <v>1.8490619529707295E-2</v>
      </c>
      <c r="E39" s="276">
        <v>10.821999999999999</v>
      </c>
      <c r="F39" s="263">
        <f>E39/$B$38</f>
        <v>8.9189465390663355E-3</v>
      </c>
      <c r="G39" s="277">
        <f t="shared" si="2"/>
        <v>-11.614000000000001</v>
      </c>
      <c r="H39" s="278">
        <f t="shared" ref="H39:H42" si="34">ROUND((F39-D39)*100,2)</f>
        <v>-0.96</v>
      </c>
      <c r="I39" s="263">
        <f t="shared" ref="I39:I42" si="35">(E39-C39)/C39</f>
        <v>-0.51765020502763415</v>
      </c>
      <c r="J39" s="163">
        <v>12.337</v>
      </c>
      <c r="K39" s="268">
        <f>J39/$B$38</f>
        <v>1.0167533122570818E-2</v>
      </c>
      <c r="L39" s="266">
        <f t="shared" si="6"/>
        <v>-10.099</v>
      </c>
      <c r="M39" s="267">
        <f t="shared" si="7"/>
        <v>-0.83</v>
      </c>
      <c r="N39" s="268">
        <f t="shared" si="8"/>
        <v>-0.45012479942948835</v>
      </c>
      <c r="O39" s="279">
        <f>('[3]SPM tables'!$C$2651-'[3]SPM tables'!$C$2631)/1000</f>
        <v>13.009</v>
      </c>
      <c r="P39" s="273">
        <f>O39/$B$38</f>
        <v>1.0721361626937162E-2</v>
      </c>
      <c r="Q39" s="271">
        <f>O39-C39</f>
        <v>-9.4269999999999996</v>
      </c>
      <c r="R39" s="272">
        <f>ROUND((P39-D39)*100,2)</f>
        <v>-0.78</v>
      </c>
      <c r="S39" s="387">
        <f>(O39-C39)/C39</f>
        <v>-0.42017293635229097</v>
      </c>
    </row>
    <row r="40" spans="1:19" x14ac:dyDescent="0.3">
      <c r="A40" s="9" t="s">
        <v>1</v>
      </c>
      <c r="B40" s="242"/>
      <c r="C40" s="274">
        <f>('[2]SPM tables'!$D$2651-'[2]SPM tables'!$D$2631)/1000</f>
        <v>111.742</v>
      </c>
      <c r="D40" s="280">
        <f t="shared" ref="D40:D42" si="36">C40/$B$38</f>
        <v>9.2092120141226266E-2</v>
      </c>
      <c r="E40" s="276">
        <v>67.347999999999999</v>
      </c>
      <c r="F40" s="263">
        <f t="shared" ref="F40:F42" si="37">E40/$B$38</f>
        <v>5.5504824571524641E-2</v>
      </c>
      <c r="G40" s="277">
        <f t="shared" si="2"/>
        <v>-44.394000000000005</v>
      </c>
      <c r="H40" s="278">
        <f t="shared" si="34"/>
        <v>-3.66</v>
      </c>
      <c r="I40" s="263">
        <f t="shared" si="35"/>
        <v>-0.39729018632206337</v>
      </c>
      <c r="J40" s="163">
        <v>77.224000000000004</v>
      </c>
      <c r="K40" s="268">
        <f t="shared" ref="K40:K42" si="38">J40/$B$38</f>
        <v>6.3644125626765746E-2</v>
      </c>
      <c r="L40" s="266">
        <f t="shared" si="6"/>
        <v>-34.518000000000001</v>
      </c>
      <c r="M40" s="267">
        <f t="shared" si="7"/>
        <v>-2.84</v>
      </c>
      <c r="N40" s="268">
        <f t="shared" si="8"/>
        <v>-0.30890802026095826</v>
      </c>
      <c r="O40" s="279">
        <f>('[3]SPM tables'!$D$2651-'[3]SPM tables'!$D$2631)/1000</f>
        <v>71.388999999999996</v>
      </c>
      <c r="P40" s="273">
        <f t="shared" ref="P40:P42" si="39">O40/$B$38</f>
        <v>5.8835212943763322E-2</v>
      </c>
      <c r="Q40" s="271">
        <f>O40-C40</f>
        <v>-40.353000000000009</v>
      </c>
      <c r="R40" s="272">
        <f>ROUND((P40-D40)*100,2)</f>
        <v>-3.33</v>
      </c>
      <c r="S40" s="387">
        <f>(O40-C40)/C40</f>
        <v>-0.36112652359900493</v>
      </c>
    </row>
    <row r="41" spans="1:19" x14ac:dyDescent="0.3">
      <c r="A41" s="9" t="s">
        <v>2</v>
      </c>
      <c r="B41" s="242"/>
      <c r="C41" s="274">
        <f>('[2]SPM tables'!$E$2651-'[2]SPM tables'!$E$2631)/1000</f>
        <v>302.52800000000002</v>
      </c>
      <c r="D41" s="280">
        <f t="shared" si="36"/>
        <v>0.24932831810854381</v>
      </c>
      <c r="E41" s="276">
        <v>253.55199999999999</v>
      </c>
      <c r="F41" s="263">
        <f t="shared" si="37"/>
        <v>0.20896476925460616</v>
      </c>
      <c r="G41" s="277">
        <f t="shared" si="2"/>
        <v>-48.976000000000028</v>
      </c>
      <c r="H41" s="278">
        <f t="shared" si="34"/>
        <v>-4.04</v>
      </c>
      <c r="I41" s="263">
        <f t="shared" si="35"/>
        <v>-0.16188914745081456</v>
      </c>
      <c r="J41" s="163">
        <v>279.88799999999998</v>
      </c>
      <c r="K41" s="268">
        <f t="shared" si="38"/>
        <v>0.23066957206858241</v>
      </c>
      <c r="L41" s="266">
        <f t="shared" si="6"/>
        <v>-22.640000000000043</v>
      </c>
      <c r="M41" s="267">
        <f t="shared" si="7"/>
        <v>-1.87</v>
      </c>
      <c r="N41" s="268">
        <f t="shared" si="8"/>
        <v>-7.4836048233552069E-2</v>
      </c>
      <c r="O41" s="279">
        <f>('[3]SPM tables'!$E$2651-'[3]SPM tables'!$E$2631)/1000</f>
        <v>255.28899999999999</v>
      </c>
      <c r="P41" s="273">
        <f t="shared" si="39"/>
        <v>0.21039631704044595</v>
      </c>
      <c r="Q41" s="271">
        <f>O41-C41</f>
        <v>-47.239000000000033</v>
      </c>
      <c r="R41" s="272">
        <f>ROUND((P41-D41)*100,2)</f>
        <v>-3.89</v>
      </c>
      <c r="S41" s="387">
        <f>(O41-C41)/C41</f>
        <v>-0.15614753014597005</v>
      </c>
    </row>
    <row r="42" spans="1:19" x14ac:dyDescent="0.3">
      <c r="A42" s="9" t="s">
        <v>3</v>
      </c>
      <c r="B42" s="242"/>
      <c r="C42" s="274">
        <f>('[2]SPM tables'!$F$2651-'[2]SPM tables'!$F$2631)/1000</f>
        <v>483.923</v>
      </c>
      <c r="D42" s="280">
        <f t="shared" si="36"/>
        <v>0.39882492755725363</v>
      </c>
      <c r="E42" s="276">
        <v>459.68900000000002</v>
      </c>
      <c r="F42" s="263">
        <f t="shared" si="37"/>
        <v>0.37885248711854236</v>
      </c>
      <c r="G42" s="277">
        <f t="shared" si="2"/>
        <v>-24.23399999999998</v>
      </c>
      <c r="H42" s="278">
        <f t="shared" si="34"/>
        <v>-2</v>
      </c>
      <c r="I42" s="263">
        <f t="shared" si="35"/>
        <v>-5.0078214922621947E-2</v>
      </c>
      <c r="J42" s="163">
        <v>474.327</v>
      </c>
      <c r="K42" s="268">
        <f t="shared" si="38"/>
        <v>0.39091638837883186</v>
      </c>
      <c r="L42" s="266">
        <f t="shared" si="6"/>
        <v>-9.5960000000000036</v>
      </c>
      <c r="M42" s="267">
        <f t="shared" si="7"/>
        <v>-0.79</v>
      </c>
      <c r="N42" s="268">
        <f t="shared" si="8"/>
        <v>-1.9829600990240191E-2</v>
      </c>
      <c r="O42" s="279">
        <f>('[3]SPM tables'!$F$2651-'[3]SPM tables'!$F$2631)/1000</f>
        <v>458.92599999999999</v>
      </c>
      <c r="P42" s="273">
        <f t="shared" si="39"/>
        <v>0.37822366100420973</v>
      </c>
      <c r="Q42" s="271">
        <f>O42-C42</f>
        <v>-24.997000000000014</v>
      </c>
      <c r="R42" s="272">
        <f>ROUND((P42-D42)*100,2)</f>
        <v>-2.06</v>
      </c>
      <c r="S42" s="387">
        <f>(O42-C42)/C42</f>
        <v>-5.1654912041791803E-2</v>
      </c>
    </row>
    <row r="43" spans="1:19" x14ac:dyDescent="0.3">
      <c r="A43" s="4" t="s">
        <v>22</v>
      </c>
      <c r="B43" s="242">
        <f>'[1]ATTIS Summary Tables'!$H$2631/1000</f>
        <v>874.05799999999999</v>
      </c>
      <c r="C43" s="274"/>
      <c r="D43" s="280"/>
      <c r="E43" s="276"/>
      <c r="F43" s="263"/>
      <c r="G43" s="277"/>
      <c r="H43" s="301"/>
      <c r="I43" s="263"/>
      <c r="J43" s="163"/>
      <c r="K43" s="268"/>
      <c r="L43" s="266"/>
      <c r="M43" s="267"/>
      <c r="N43" s="268"/>
      <c r="O43" s="279"/>
      <c r="P43" s="273"/>
      <c r="Q43" s="271"/>
      <c r="R43" s="272"/>
      <c r="S43" s="387"/>
    </row>
    <row r="44" spans="1:19" x14ac:dyDescent="0.3">
      <c r="A44" s="9" t="s">
        <v>0</v>
      </c>
      <c r="B44" s="242"/>
      <c r="C44" s="274">
        <f>'[2]SPM tables'!$C$2631/1000</f>
        <v>24.94</v>
      </c>
      <c r="D44" s="280">
        <f>C44/$B$43</f>
        <v>2.8533575575076256E-2</v>
      </c>
      <c r="E44" s="276">
        <v>6.5650000000000004</v>
      </c>
      <c r="F44" s="263">
        <f>E44/$B$43</f>
        <v>7.5109432097183485E-3</v>
      </c>
      <c r="G44" s="277">
        <f t="shared" si="2"/>
        <v>-18.375</v>
      </c>
      <c r="H44" s="278">
        <f t="shared" ref="H44:H47" si="40">ROUND((F44-D44)*100,2)</f>
        <v>-2.1</v>
      </c>
      <c r="I44" s="263">
        <f t="shared" ref="I44:I47" si="41">(E44-C44)/C44</f>
        <v>-0.73676824378508421</v>
      </c>
      <c r="J44" s="163">
        <v>7.0780000000000003</v>
      </c>
      <c r="K44" s="268">
        <f>J44/$B$43</f>
        <v>8.0978607826940555E-3</v>
      </c>
      <c r="L44" s="266">
        <f t="shared" si="6"/>
        <v>-17.862000000000002</v>
      </c>
      <c r="M44" s="267">
        <f t="shared" si="7"/>
        <v>-2.04</v>
      </c>
      <c r="N44" s="268">
        <f t="shared" si="8"/>
        <v>-0.71619887730553333</v>
      </c>
      <c r="O44" s="279">
        <f>'[3]SPM tables'!$C$2631/1000</f>
        <v>8.0939999999999994</v>
      </c>
      <c r="P44" s="273">
        <f>O44/$B$43</f>
        <v>9.2602550402833671E-3</v>
      </c>
      <c r="Q44" s="271">
        <f>O44-C44</f>
        <v>-16.846000000000004</v>
      </c>
      <c r="R44" s="272">
        <f>ROUND((P44-D44)*100,2)</f>
        <v>-1.93</v>
      </c>
      <c r="S44" s="387">
        <f>(O44-C44)/C44</f>
        <v>-0.67546110665597447</v>
      </c>
    </row>
    <row r="45" spans="1:19" x14ac:dyDescent="0.3">
      <c r="A45" s="9" t="s">
        <v>1</v>
      </c>
      <c r="B45" s="242"/>
      <c r="C45" s="274">
        <f>'[2]SPM tables'!$D$2631/1000</f>
        <v>152.709</v>
      </c>
      <c r="D45" s="280">
        <f t="shared" ref="D45:D47" si="42">C45/$B$43</f>
        <v>0.17471266208878589</v>
      </c>
      <c r="E45" s="276">
        <v>79.834000000000003</v>
      </c>
      <c r="F45" s="263">
        <f t="shared" ref="F45:F47" si="43">E45/$B$43</f>
        <v>9.1337188149985468E-2</v>
      </c>
      <c r="G45" s="277">
        <f t="shared" si="2"/>
        <v>-72.875</v>
      </c>
      <c r="H45" s="278">
        <f t="shared" si="40"/>
        <v>-8.34</v>
      </c>
      <c r="I45" s="263">
        <f t="shared" si="41"/>
        <v>-0.47721483344138199</v>
      </c>
      <c r="J45" s="163">
        <v>92.385000000000005</v>
      </c>
      <c r="K45" s="268">
        <f t="shared" ref="K45:K47" si="44">J45/$B$43</f>
        <v>0.1056966471332566</v>
      </c>
      <c r="L45" s="266">
        <f t="shared" si="6"/>
        <v>-60.323999999999998</v>
      </c>
      <c r="M45" s="267">
        <f t="shared" si="7"/>
        <v>-6.9</v>
      </c>
      <c r="N45" s="268">
        <f t="shared" si="8"/>
        <v>-0.39502583344793035</v>
      </c>
      <c r="O45" s="279">
        <f>'[3]SPM tables'!$D$2631/1000</f>
        <v>86.096999999999994</v>
      </c>
      <c r="P45" s="273">
        <f t="shared" ref="P45:P47" si="45">O45/$B$43</f>
        <v>9.8502616531168402E-2</v>
      </c>
      <c r="Q45" s="271">
        <f>O45-C45</f>
        <v>-66.612000000000009</v>
      </c>
      <c r="R45" s="272">
        <f>ROUND((P45-D45)*100,2)</f>
        <v>-7.62</v>
      </c>
      <c r="S45" s="387">
        <f>(O45-C45)/C45</f>
        <v>-0.4362021884761213</v>
      </c>
    </row>
    <row r="46" spans="1:19" x14ac:dyDescent="0.3">
      <c r="A46" s="9" t="s">
        <v>2</v>
      </c>
      <c r="B46" s="242"/>
      <c r="C46" s="274">
        <f>'[2]SPM tables'!$E$2631/1000</f>
        <v>413.91</v>
      </c>
      <c r="D46" s="280">
        <f t="shared" si="42"/>
        <v>0.47354981019566211</v>
      </c>
      <c r="E46" s="276">
        <v>368.79300000000001</v>
      </c>
      <c r="F46" s="263">
        <f t="shared" si="43"/>
        <v>0.42193195417237761</v>
      </c>
      <c r="G46" s="277">
        <f t="shared" si="2"/>
        <v>-45.117000000000019</v>
      </c>
      <c r="H46" s="278">
        <f t="shared" si="40"/>
        <v>-5.16</v>
      </c>
      <c r="I46" s="263">
        <f t="shared" si="41"/>
        <v>-0.10900195694716247</v>
      </c>
      <c r="J46" s="163">
        <v>389.745</v>
      </c>
      <c r="K46" s="268">
        <f t="shared" si="44"/>
        <v>0.44590290346864853</v>
      </c>
      <c r="L46" s="266">
        <f t="shared" si="6"/>
        <v>-24.16500000000002</v>
      </c>
      <c r="M46" s="267">
        <f t="shared" si="7"/>
        <v>-2.76</v>
      </c>
      <c r="N46" s="268">
        <f t="shared" si="8"/>
        <v>-5.8382257012394044E-2</v>
      </c>
      <c r="O46" s="279">
        <f>'[3]SPM tables'!$E$2631/1000</f>
        <v>368.601</v>
      </c>
      <c r="P46" s="273">
        <f t="shared" si="45"/>
        <v>0.42171228911582526</v>
      </c>
      <c r="Q46" s="271">
        <f>O46-C46</f>
        <v>-45.309000000000026</v>
      </c>
      <c r="R46" s="272">
        <f>ROUND((P46-D46)*100,2)</f>
        <v>-5.18</v>
      </c>
      <c r="S46" s="387">
        <f>(O46-C46)/C46</f>
        <v>-0.10946582590418212</v>
      </c>
    </row>
    <row r="47" spans="1:19" ht="13.5" thickBot="1" x14ac:dyDescent="0.35">
      <c r="A47" s="12" t="s">
        <v>3</v>
      </c>
      <c r="B47" s="302"/>
      <c r="C47" s="281">
        <f>'[2]SPM tables'!$F$2631/1000</f>
        <v>552.59699999999998</v>
      </c>
      <c r="D47" s="282">
        <f t="shared" si="42"/>
        <v>0.63222005862311192</v>
      </c>
      <c r="E47" s="283">
        <v>538.053</v>
      </c>
      <c r="F47" s="284">
        <f t="shared" si="43"/>
        <v>0.61558043058927436</v>
      </c>
      <c r="G47" s="285">
        <f t="shared" si="2"/>
        <v>-14.543999999999983</v>
      </c>
      <c r="H47" s="286">
        <f t="shared" si="40"/>
        <v>-1.66</v>
      </c>
      <c r="I47" s="284">
        <f t="shared" si="41"/>
        <v>-2.6319361125738981E-2</v>
      </c>
      <c r="J47" s="287">
        <v>547.60299999999995</v>
      </c>
      <c r="K47" s="288">
        <f t="shared" si="44"/>
        <v>0.62650647897507938</v>
      </c>
      <c r="L47" s="289">
        <f t="shared" si="6"/>
        <v>-4.9940000000000282</v>
      </c>
      <c r="M47" s="290">
        <f t="shared" si="7"/>
        <v>-0.56999999999999995</v>
      </c>
      <c r="N47" s="288">
        <f t="shared" si="8"/>
        <v>-9.0373273832467932E-3</v>
      </c>
      <c r="O47" s="291">
        <f>'[3]SPM tables'!$F$2631/1000</f>
        <v>536.88599999999997</v>
      </c>
      <c r="P47" s="292">
        <f t="shared" si="45"/>
        <v>0.61424527891741731</v>
      </c>
      <c r="Q47" s="293">
        <f>O47-C47</f>
        <v>-15.711000000000013</v>
      </c>
      <c r="R47" s="294">
        <f>ROUND((P47-D47)*100,2)</f>
        <v>-1.8</v>
      </c>
      <c r="S47" s="410">
        <f>(O47-C47)/C47</f>
        <v>-2.843120755270118E-2</v>
      </c>
    </row>
    <row r="48" spans="1:19" ht="15" customHeight="1" x14ac:dyDescent="0.3">
      <c r="A48" s="459" t="s">
        <v>76</v>
      </c>
      <c r="B48" s="448"/>
      <c r="C48" s="448"/>
      <c r="D48" s="448"/>
      <c r="E48" s="448"/>
      <c r="F48" s="448"/>
      <c r="G48" s="448"/>
      <c r="H48" s="448"/>
      <c r="I48" s="448"/>
    </row>
    <row r="49" spans="1:9" ht="28.5" customHeight="1" x14ac:dyDescent="0.3">
      <c r="A49" s="448" t="s">
        <v>121</v>
      </c>
      <c r="B49" s="448"/>
      <c r="C49" s="448"/>
      <c r="D49" s="448"/>
      <c r="E49" s="448"/>
      <c r="F49" s="448"/>
      <c r="G49" s="448"/>
      <c r="H49" s="448"/>
      <c r="I49" s="448"/>
    </row>
    <row r="50" spans="1:9" ht="28" customHeight="1" x14ac:dyDescent="0.3">
      <c r="A50" s="448" t="s">
        <v>120</v>
      </c>
      <c r="B50" s="448"/>
      <c r="C50" s="448"/>
      <c r="D50" s="448"/>
      <c r="E50" s="448"/>
      <c r="F50" s="448"/>
      <c r="G50" s="448"/>
      <c r="H50" s="448"/>
      <c r="I50" s="448"/>
    </row>
  </sheetData>
  <mergeCells count="9">
    <mergeCell ref="O6:S6"/>
    <mergeCell ref="J6:N6"/>
    <mergeCell ref="A50:I50"/>
    <mergeCell ref="A2:I2"/>
    <mergeCell ref="E6:I6"/>
    <mergeCell ref="E5:G5"/>
    <mergeCell ref="A48:I48"/>
    <mergeCell ref="A49:I49"/>
    <mergeCell ref="B6:D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F9F-79F4-42AE-823E-1D282717F32A}">
  <dimension ref="A1:G36"/>
  <sheetViews>
    <sheetView zoomScaleNormal="100" workbookViewId="0">
      <selection activeCell="D6" sqref="D6"/>
    </sheetView>
  </sheetViews>
  <sheetFormatPr defaultColWidth="9.1796875" defaultRowHeight="13" x14ac:dyDescent="0.3"/>
  <cols>
    <col min="1" max="1" width="72.1796875" style="1" customWidth="1"/>
    <col min="2" max="2" width="27.54296875" style="13" customWidth="1"/>
    <col min="3" max="4" width="27.54296875" style="1" customWidth="1"/>
    <col min="5" max="16384" width="9.1796875" style="1"/>
  </cols>
  <sheetData>
    <row r="1" spans="1:4" s="20" customFormat="1" x14ac:dyDescent="0.3">
      <c r="A1" s="18" t="s">
        <v>73</v>
      </c>
      <c r="B1" s="15"/>
    </row>
    <row r="2" spans="1:4" s="20" customFormat="1" x14ac:dyDescent="0.3">
      <c r="A2" s="449" t="s">
        <v>204</v>
      </c>
      <c r="B2" s="450"/>
    </row>
    <row r="3" spans="1:4" s="20" customFormat="1" ht="27" customHeight="1" x14ac:dyDescent="0.3">
      <c r="A3" s="467" t="s">
        <v>118</v>
      </c>
      <c r="B3" s="467"/>
    </row>
    <row r="4" spans="1:4" s="20" customFormat="1" x14ac:dyDescent="0.3">
      <c r="A4" s="23" t="s">
        <v>119</v>
      </c>
      <c r="B4" s="15"/>
    </row>
    <row r="5" spans="1:4" s="20" customFormat="1" x14ac:dyDescent="0.3">
      <c r="A5" s="20" t="s">
        <v>101</v>
      </c>
      <c r="B5" s="15"/>
    </row>
    <row r="6" spans="1:4" s="20" customFormat="1" ht="13.5" thickBot="1" x14ac:dyDescent="0.35">
      <c r="A6" s="21"/>
      <c r="B6" s="343" t="s">
        <v>195</v>
      </c>
      <c r="C6" s="402" t="s">
        <v>196</v>
      </c>
      <c r="D6" s="413" t="s">
        <v>205</v>
      </c>
    </row>
    <row r="7" spans="1:4" x14ac:dyDescent="0.3">
      <c r="A7" s="1" t="s">
        <v>72</v>
      </c>
      <c r="B7" s="342"/>
      <c r="C7" s="403"/>
      <c r="D7" s="414"/>
    </row>
    <row r="8" spans="1:4" x14ac:dyDescent="0.3">
      <c r="A8" s="8" t="s">
        <v>7</v>
      </c>
      <c r="B8" s="276">
        <v>7446.57</v>
      </c>
      <c r="C8" s="163">
        <v>7446.57</v>
      </c>
      <c r="D8" s="415">
        <v>7446.57</v>
      </c>
    </row>
    <row r="9" spans="1:4" x14ac:dyDescent="0.3">
      <c r="A9" s="8" t="s">
        <v>8</v>
      </c>
      <c r="B9" s="276">
        <v>2081.886</v>
      </c>
      <c r="C9" s="163">
        <v>2081.886</v>
      </c>
      <c r="D9" s="415">
        <v>2081.886</v>
      </c>
    </row>
    <row r="10" spans="1:4" x14ac:dyDescent="0.3">
      <c r="A10" s="8" t="s">
        <v>9</v>
      </c>
      <c r="B10" s="276">
        <v>781.66399999999999</v>
      </c>
      <c r="C10" s="163">
        <v>781.66399999999999</v>
      </c>
      <c r="D10" s="415">
        <v>781.66399999999999</v>
      </c>
    </row>
    <row r="11" spans="1:4" x14ac:dyDescent="0.3">
      <c r="A11" s="8" t="s">
        <v>10</v>
      </c>
      <c r="B11" s="276">
        <v>5364.6840000000002</v>
      </c>
      <c r="C11" s="163">
        <v>5364.6840000000002</v>
      </c>
      <c r="D11" s="415">
        <v>5364.6840000000002</v>
      </c>
    </row>
    <row r="12" spans="1:4" x14ac:dyDescent="0.3">
      <c r="A12" s="1" t="s">
        <v>24</v>
      </c>
      <c r="B12" s="260"/>
      <c r="C12" s="264"/>
      <c r="D12" s="416"/>
    </row>
    <row r="13" spans="1:4" x14ac:dyDescent="0.3">
      <c r="A13" s="8" t="s">
        <v>25</v>
      </c>
      <c r="B13" s="260" t="s">
        <v>54</v>
      </c>
      <c r="C13" s="264" t="s">
        <v>54</v>
      </c>
      <c r="D13" s="416" t="s">
        <v>54</v>
      </c>
    </row>
    <row r="14" spans="1:4" x14ac:dyDescent="0.3">
      <c r="A14" s="4" t="s">
        <v>7</v>
      </c>
      <c r="B14" s="276">
        <v>2022.62</v>
      </c>
      <c r="C14" s="163">
        <v>1845.02</v>
      </c>
      <c r="D14" s="415">
        <v>2024.75</v>
      </c>
    </row>
    <row r="15" spans="1:4" x14ac:dyDescent="0.3">
      <c r="A15" s="4" t="s">
        <v>8</v>
      </c>
      <c r="B15" s="276">
        <v>1574.24</v>
      </c>
      <c r="C15" s="163">
        <v>1396.64</v>
      </c>
      <c r="D15" s="415">
        <v>1591.36</v>
      </c>
    </row>
    <row r="16" spans="1:4" x14ac:dyDescent="0.3">
      <c r="A16" s="4" t="s">
        <v>9</v>
      </c>
      <c r="B16" s="276">
        <v>630.34900000000005</v>
      </c>
      <c r="C16" s="163">
        <v>593</v>
      </c>
      <c r="D16" s="415">
        <v>647.10400000000004</v>
      </c>
    </row>
    <row r="17" spans="1:4" x14ac:dyDescent="0.3">
      <c r="A17" s="4" t="s">
        <v>10</v>
      </c>
      <c r="B17" s="276">
        <v>448.37299999999999</v>
      </c>
      <c r="C17" s="163">
        <v>448.37299999999999</v>
      </c>
      <c r="D17" s="415">
        <v>433.39699999999999</v>
      </c>
    </row>
    <row r="18" spans="1:4" x14ac:dyDescent="0.3">
      <c r="A18" s="8" t="s">
        <v>26</v>
      </c>
      <c r="B18" s="260"/>
      <c r="C18" s="264"/>
      <c r="D18" s="416"/>
    </row>
    <row r="19" spans="1:4" x14ac:dyDescent="0.3">
      <c r="A19" s="4" t="s">
        <v>7</v>
      </c>
      <c r="B19" s="335">
        <v>3759.8856928142704</v>
      </c>
      <c r="C19" s="404">
        <v>2885.2532763872478</v>
      </c>
      <c r="D19" s="417">
        <v>3581.1680454377083</v>
      </c>
    </row>
    <row r="20" spans="1:4" x14ac:dyDescent="0.3">
      <c r="A20" s="4" t="s">
        <v>8</v>
      </c>
      <c r="B20" s="335">
        <v>3612.6384795202766</v>
      </c>
      <c r="C20" s="404">
        <v>2438.4880856913737</v>
      </c>
      <c r="D20" s="417">
        <v>3495.1425196058717</v>
      </c>
    </row>
    <row r="21" spans="1:4" x14ac:dyDescent="0.3">
      <c r="A21" s="4" t="s">
        <v>9</v>
      </c>
      <c r="B21" s="335">
        <v>4246.8061343795262</v>
      </c>
      <c r="C21" s="404">
        <v>3002.4283305227655</v>
      </c>
      <c r="D21" s="417">
        <v>4374.5827564039164</v>
      </c>
    </row>
    <row r="22" spans="1:4" x14ac:dyDescent="0.3">
      <c r="A22" s="4" t="s">
        <v>10</v>
      </c>
      <c r="B22" s="335">
        <v>4276.930145213918</v>
      </c>
      <c r="C22" s="404">
        <v>4276.930145213918</v>
      </c>
      <c r="D22" s="417">
        <v>3896.9812896720559</v>
      </c>
    </row>
    <row r="23" spans="1:4" x14ac:dyDescent="0.3">
      <c r="A23" s="1" t="s">
        <v>28</v>
      </c>
      <c r="B23" s="260"/>
      <c r="C23" s="264"/>
      <c r="D23" s="416"/>
    </row>
    <row r="24" spans="1:4" x14ac:dyDescent="0.3">
      <c r="A24" s="8" t="s">
        <v>29</v>
      </c>
      <c r="B24" s="260"/>
      <c r="C24" s="264"/>
      <c r="D24" s="416"/>
    </row>
    <row r="25" spans="1:4" x14ac:dyDescent="0.3">
      <c r="A25" s="4" t="s">
        <v>7</v>
      </c>
      <c r="B25" s="338">
        <v>2.996</v>
      </c>
      <c r="C25" s="405">
        <v>98.716000000000008</v>
      </c>
      <c r="D25" s="418">
        <v>2.9580000000000002</v>
      </c>
    </row>
    <row r="26" spans="1:4" x14ac:dyDescent="0.3">
      <c r="A26" s="4" t="s">
        <v>8</v>
      </c>
      <c r="B26" s="338">
        <v>0.105</v>
      </c>
      <c r="C26" s="405">
        <v>95.825000000000003</v>
      </c>
      <c r="D26" s="418">
        <v>0.105</v>
      </c>
    </row>
    <row r="27" spans="1:4" x14ac:dyDescent="0.3">
      <c r="A27" s="4" t="s">
        <v>9</v>
      </c>
      <c r="B27" s="338">
        <v>0.105</v>
      </c>
      <c r="C27" s="405">
        <v>9.68</v>
      </c>
      <c r="D27" s="418">
        <v>0.105</v>
      </c>
    </row>
    <row r="28" spans="1:4" x14ac:dyDescent="0.3">
      <c r="A28" s="4" t="s">
        <v>10</v>
      </c>
      <c r="B28" s="338">
        <v>2.891</v>
      </c>
      <c r="C28" s="405">
        <v>2.891</v>
      </c>
      <c r="D28" s="418">
        <v>2.8530000000000002</v>
      </c>
    </row>
    <row r="29" spans="1:4" x14ac:dyDescent="0.3">
      <c r="A29" s="8" t="s">
        <v>27</v>
      </c>
      <c r="B29" s="260"/>
      <c r="C29" s="264"/>
      <c r="D29" s="416"/>
    </row>
    <row r="30" spans="1:4" x14ac:dyDescent="0.3">
      <c r="A30" s="4" t="s">
        <v>7</v>
      </c>
      <c r="B30" s="335">
        <v>-424.16221628838451</v>
      </c>
      <c r="C30" s="404">
        <v>-174.09133271202236</v>
      </c>
      <c r="D30" s="417">
        <v>-406.0953346855984</v>
      </c>
    </row>
    <row r="31" spans="1:4" x14ac:dyDescent="0.3">
      <c r="A31" s="4" t="s">
        <v>8</v>
      </c>
      <c r="B31" s="335">
        <v>-480.21047619047619</v>
      </c>
      <c r="C31" s="404">
        <v>-166.6089225150013</v>
      </c>
      <c r="D31" s="417">
        <v>-559.21047619047613</v>
      </c>
    </row>
    <row r="32" spans="1:4" x14ac:dyDescent="0.3">
      <c r="A32" s="4" t="s">
        <v>9</v>
      </c>
      <c r="B32" s="335">
        <v>-480.21047619047619</v>
      </c>
      <c r="C32" s="404">
        <v>-178.31921487603304</v>
      </c>
      <c r="D32" s="417">
        <v>-559.21047619047613</v>
      </c>
    </row>
    <row r="33" spans="1:7" ht="13.5" thickBot="1" x14ac:dyDescent="0.35">
      <c r="A33" s="10" t="s">
        <v>10</v>
      </c>
      <c r="B33" s="339">
        <v>-422.12383258388098</v>
      </c>
      <c r="C33" s="406">
        <v>-422.12383258388098</v>
      </c>
      <c r="D33" s="419">
        <v>-400.4626708727655</v>
      </c>
    </row>
    <row r="34" spans="1:7" ht="28.5" customHeight="1" x14ac:dyDescent="0.3">
      <c r="A34" s="459" t="s">
        <v>76</v>
      </c>
      <c r="B34" s="448"/>
    </row>
    <row r="35" spans="1:7" ht="40.5" customHeight="1" x14ac:dyDescent="0.3">
      <c r="A35" s="455" t="s">
        <v>125</v>
      </c>
      <c r="B35" s="455"/>
      <c r="C35" s="17"/>
      <c r="D35" s="17"/>
    </row>
    <row r="36" spans="1:7" ht="54" customHeight="1" x14ac:dyDescent="0.3">
      <c r="A36" s="448" t="s">
        <v>120</v>
      </c>
      <c r="B36" s="448"/>
      <c r="C36" s="7"/>
      <c r="D36" s="7"/>
      <c r="E36" s="7"/>
      <c r="F36" s="7"/>
      <c r="G36" s="7"/>
    </row>
  </sheetData>
  <mergeCells count="5">
    <mergeCell ref="A34:B34"/>
    <mergeCell ref="A35:B35"/>
    <mergeCell ref="A3:B3"/>
    <mergeCell ref="A2:B2"/>
    <mergeCell ref="A36:B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D446-ED0A-4089-9032-05B6854F1A65}">
  <sheetPr>
    <pageSetUpPr fitToPage="1"/>
  </sheetPr>
  <dimension ref="A1:K71"/>
  <sheetViews>
    <sheetView zoomScaleNormal="100" workbookViewId="0">
      <selection activeCell="F26" sqref="F26"/>
    </sheetView>
  </sheetViews>
  <sheetFormatPr defaultColWidth="9.1796875" defaultRowHeight="13" x14ac:dyDescent="0.3"/>
  <cols>
    <col min="1" max="1" width="56.81640625" style="1" customWidth="1"/>
    <col min="2" max="2" width="14.54296875" style="13" customWidth="1"/>
    <col min="3" max="5" width="13.54296875" style="13" customWidth="1"/>
    <col min="6" max="11" width="13.54296875" style="1" customWidth="1"/>
    <col min="12" max="16384" width="9.1796875" style="1"/>
  </cols>
  <sheetData>
    <row r="1" spans="1:11" s="20" customFormat="1" x14ac:dyDescent="0.3">
      <c r="A1" s="18" t="s">
        <v>74</v>
      </c>
      <c r="B1" s="19"/>
      <c r="C1" s="19"/>
      <c r="D1" s="19"/>
      <c r="E1" s="19"/>
      <c r="F1" s="20" t="s">
        <v>54</v>
      </c>
    </row>
    <row r="2" spans="1:11" s="20" customFormat="1" x14ac:dyDescent="0.3">
      <c r="A2" s="449" t="s">
        <v>206</v>
      </c>
      <c r="B2" s="450"/>
      <c r="C2" s="450"/>
      <c r="D2" s="450"/>
      <c r="E2" s="450"/>
    </row>
    <row r="3" spans="1:11" s="20" customFormat="1" ht="27" customHeight="1" x14ac:dyDescent="0.3">
      <c r="A3" s="467" t="s">
        <v>118</v>
      </c>
      <c r="B3" s="467"/>
      <c r="C3" s="467"/>
      <c r="D3" s="467"/>
      <c r="E3" s="467"/>
    </row>
    <row r="4" spans="1:11" s="20" customFormat="1" x14ac:dyDescent="0.3">
      <c r="A4" s="23" t="s">
        <v>119</v>
      </c>
      <c r="B4" s="19"/>
      <c r="C4" s="19"/>
      <c r="D4" s="19"/>
      <c r="E4" s="19"/>
    </row>
    <row r="5" spans="1:11" s="20" customFormat="1" x14ac:dyDescent="0.3">
      <c r="A5" s="20" t="s">
        <v>102</v>
      </c>
      <c r="B5" s="15" t="s">
        <v>54</v>
      </c>
      <c r="C5" s="15"/>
      <c r="D5" s="15"/>
      <c r="E5" s="15"/>
    </row>
    <row r="6" spans="1:11" s="18" customFormat="1" ht="13.5" customHeight="1" x14ac:dyDescent="0.3">
      <c r="B6" s="371" t="s">
        <v>129</v>
      </c>
      <c r="C6" s="465" t="s">
        <v>195</v>
      </c>
      <c r="D6" s="466"/>
      <c r="E6" s="469"/>
      <c r="F6" s="468" t="s">
        <v>196</v>
      </c>
      <c r="G6" s="464"/>
      <c r="H6" s="464"/>
      <c r="I6" s="461" t="s">
        <v>197</v>
      </c>
      <c r="J6" s="462"/>
      <c r="K6" s="463"/>
    </row>
    <row r="7" spans="1:11" s="20" customFormat="1" ht="39.5" thickBot="1" x14ac:dyDescent="0.35">
      <c r="A7" s="21"/>
      <c r="B7" s="234" t="s">
        <v>117</v>
      </c>
      <c r="C7" s="236" t="s">
        <v>113</v>
      </c>
      <c r="D7" s="237" t="s">
        <v>64</v>
      </c>
      <c r="E7" s="357" t="s">
        <v>68</v>
      </c>
      <c r="F7" s="239" t="s">
        <v>113</v>
      </c>
      <c r="G7" s="239" t="s">
        <v>64</v>
      </c>
      <c r="H7" s="239" t="s">
        <v>68</v>
      </c>
      <c r="I7" s="240" t="s">
        <v>113</v>
      </c>
      <c r="J7" s="241" t="s">
        <v>64</v>
      </c>
      <c r="K7" s="307" t="s">
        <v>68</v>
      </c>
    </row>
    <row r="8" spans="1:11" x14ac:dyDescent="0.3">
      <c r="A8" s="1" t="s">
        <v>33</v>
      </c>
      <c r="B8" s="353"/>
      <c r="C8" s="358"/>
      <c r="D8" s="247"/>
      <c r="E8" s="359"/>
      <c r="F8" s="251"/>
      <c r="G8" s="251"/>
      <c r="H8" s="344"/>
      <c r="I8" s="365"/>
      <c r="J8" s="345"/>
      <c r="K8" s="420"/>
    </row>
    <row r="9" spans="1:11" x14ac:dyDescent="0.3">
      <c r="A9" s="8" t="s">
        <v>34</v>
      </c>
      <c r="B9" s="354">
        <f>'[2]Script (key results)'!$B$303/1000</f>
        <v>377.12799999999999</v>
      </c>
      <c r="C9" s="360">
        <v>377.12799999999999</v>
      </c>
      <c r="D9" s="277">
        <f>C9-B9</f>
        <v>0</v>
      </c>
      <c r="E9" s="361">
        <f>(C9-B9)/B9</f>
        <v>0</v>
      </c>
      <c r="F9" s="346">
        <v>377.12799999999999</v>
      </c>
      <c r="G9" s="266">
        <f>F9-B9</f>
        <v>0</v>
      </c>
      <c r="H9" s="268">
        <f>(F9-B9)/B9</f>
        <v>0</v>
      </c>
      <c r="I9" s="366">
        <v>377.12799999999999</v>
      </c>
      <c r="J9" s="333">
        <v>0</v>
      </c>
      <c r="K9" s="421">
        <v>0</v>
      </c>
    </row>
    <row r="10" spans="1:11" x14ac:dyDescent="0.3">
      <c r="A10" s="8" t="s">
        <v>35</v>
      </c>
      <c r="B10" s="355">
        <f>'[2]Script (key results)'!$B$304/1000000</f>
        <v>1910.5391360000001</v>
      </c>
      <c r="C10" s="335">
        <v>1910.5391360000001</v>
      </c>
      <c r="D10" s="347">
        <f>C10-B10</f>
        <v>0</v>
      </c>
      <c r="E10" s="361">
        <f>(C10-B10)/B10</f>
        <v>0</v>
      </c>
      <c r="F10" s="336">
        <v>1910.5391360000001</v>
      </c>
      <c r="G10" s="266">
        <f t="shared" ref="G10:G68" si="0">F10-B10</f>
        <v>0</v>
      </c>
      <c r="H10" s="268">
        <f t="shared" ref="H10:H68" si="1">(F10-B10)/B10</f>
        <v>0</v>
      </c>
      <c r="I10" s="367">
        <v>1910.5391360000001</v>
      </c>
      <c r="J10" s="337">
        <v>0</v>
      </c>
      <c r="K10" s="421">
        <v>0</v>
      </c>
    </row>
    <row r="11" spans="1:11" x14ac:dyDescent="0.3">
      <c r="A11" s="3"/>
      <c r="B11" s="243"/>
      <c r="C11" s="260"/>
      <c r="D11" s="261"/>
      <c r="E11" s="362"/>
      <c r="F11" s="265"/>
      <c r="G11" s="266"/>
      <c r="H11" s="268"/>
      <c r="I11" s="368"/>
      <c r="J11" s="334"/>
      <c r="K11" s="422"/>
    </row>
    <row r="12" spans="1:11" ht="14.5" x14ac:dyDescent="0.3">
      <c r="A12" s="1" t="s">
        <v>98</v>
      </c>
      <c r="B12" s="243"/>
      <c r="C12" s="260"/>
      <c r="D12" s="261"/>
      <c r="E12" s="362"/>
      <c r="F12" s="265"/>
      <c r="G12" s="266"/>
      <c r="H12" s="268"/>
      <c r="I12" s="368"/>
      <c r="J12" s="334"/>
      <c r="K12" s="422"/>
    </row>
    <row r="13" spans="1:11" x14ac:dyDescent="0.3">
      <c r="A13" s="8" t="s">
        <v>96</v>
      </c>
      <c r="B13" s="242">
        <f>+('[2]Script (key results)'!$B$271+'[2]Script (key results)'!$B$267)/1000</f>
        <v>601.375</v>
      </c>
      <c r="C13" s="276">
        <v>601.375</v>
      </c>
      <c r="D13" s="277">
        <f>C13-B13</f>
        <v>0</v>
      </c>
      <c r="E13" s="361">
        <f>(C13-B13)/B13</f>
        <v>0</v>
      </c>
      <c r="F13" s="266">
        <v>601.375</v>
      </c>
      <c r="G13" s="266">
        <f t="shared" si="0"/>
        <v>0</v>
      </c>
      <c r="H13" s="268">
        <f t="shared" si="1"/>
        <v>0</v>
      </c>
      <c r="I13" s="369">
        <v>601.375</v>
      </c>
      <c r="J13" s="333">
        <v>0</v>
      </c>
      <c r="K13" s="421">
        <v>0</v>
      </c>
    </row>
    <row r="14" spans="1:11" x14ac:dyDescent="0.3">
      <c r="A14" s="8" t="s">
        <v>97</v>
      </c>
      <c r="B14" s="355">
        <f>+('[2]Script (key results)'!$B$266+'[2]Script (key results)'!$B$268)/1000000</f>
        <v>4158.164992</v>
      </c>
      <c r="C14" s="335">
        <v>4158.164992</v>
      </c>
      <c r="D14" s="347">
        <f>C14-B14</f>
        <v>0</v>
      </c>
      <c r="E14" s="361">
        <f>(C14-B14)/B14</f>
        <v>0</v>
      </c>
      <c r="F14" s="336">
        <v>4158.164992</v>
      </c>
      <c r="G14" s="266">
        <f t="shared" si="0"/>
        <v>0</v>
      </c>
      <c r="H14" s="268">
        <f t="shared" si="1"/>
        <v>0</v>
      </c>
      <c r="I14" s="367">
        <v>4158.164992</v>
      </c>
      <c r="J14" s="337">
        <v>0</v>
      </c>
      <c r="K14" s="421">
        <v>0</v>
      </c>
    </row>
    <row r="15" spans="1:11" x14ac:dyDescent="0.3">
      <c r="A15" s="3"/>
      <c r="B15" s="243"/>
      <c r="C15" s="260"/>
      <c r="D15" s="261"/>
      <c r="E15" s="362"/>
      <c r="F15" s="265"/>
      <c r="G15" s="266"/>
      <c r="H15" s="268"/>
      <c r="I15" s="368"/>
      <c r="J15" s="334"/>
      <c r="K15" s="422"/>
    </row>
    <row r="16" spans="1:11" ht="26" x14ac:dyDescent="0.3">
      <c r="A16" s="7" t="s">
        <v>36</v>
      </c>
      <c r="B16" s="243"/>
      <c r="C16" s="260"/>
      <c r="D16" s="261"/>
      <c r="E16" s="362"/>
      <c r="F16" s="265"/>
      <c r="G16" s="266"/>
      <c r="H16" s="268"/>
      <c r="I16" s="368"/>
      <c r="J16" s="334"/>
      <c r="K16" s="422"/>
    </row>
    <row r="17" spans="1:11" x14ac:dyDescent="0.3">
      <c r="A17" s="8" t="s">
        <v>37</v>
      </c>
      <c r="B17" s="242">
        <f>SUM('[2]Script (key results)'!$B$296,'[2]Script (key results)'!$B$298)/1000</f>
        <v>141.43700000000001</v>
      </c>
      <c r="C17" s="276">
        <v>295.32600000000002</v>
      </c>
      <c r="D17" s="277">
        <f>C17-B17</f>
        <v>153.88900000000001</v>
      </c>
      <c r="E17" s="361">
        <f>(C17-B17)/B17</f>
        <v>1.0880391976639776</v>
      </c>
      <c r="F17" s="266">
        <v>295.32600000000002</v>
      </c>
      <c r="G17" s="266">
        <f t="shared" si="0"/>
        <v>153.88900000000001</v>
      </c>
      <c r="H17" s="268">
        <f t="shared" si="1"/>
        <v>1.0880391976639776</v>
      </c>
      <c r="I17" s="369">
        <v>248.31100000000001</v>
      </c>
      <c r="J17" s="333">
        <v>106.874</v>
      </c>
      <c r="K17" s="421">
        <v>0.75562971499678289</v>
      </c>
    </row>
    <row r="18" spans="1:11" x14ac:dyDescent="0.3">
      <c r="A18" s="8" t="s">
        <v>35</v>
      </c>
      <c r="B18" s="355">
        <f>SUM('[2]Script (key results)'!$B$297/1000000, '[2]Script (key results)'!$B$299/1000000)</f>
        <v>1046.5409999999999</v>
      </c>
      <c r="C18" s="335">
        <v>2846.8586639999999</v>
      </c>
      <c r="D18" s="347">
        <f>C18-B18</f>
        <v>1800.3176639999999</v>
      </c>
      <c r="E18" s="361">
        <f>(C18-B18)/B18</f>
        <v>1.7202552637689303</v>
      </c>
      <c r="F18" s="336">
        <v>2866.1515679999998</v>
      </c>
      <c r="G18" s="266">
        <f t="shared" si="0"/>
        <v>1819.6105679999998</v>
      </c>
      <c r="H18" s="268">
        <f t="shared" si="1"/>
        <v>1.7386901879620578</v>
      </c>
      <c r="I18" s="367">
        <v>1954.4596920000001</v>
      </c>
      <c r="J18" s="337">
        <v>907.91869200000019</v>
      </c>
      <c r="K18" s="421">
        <v>0.86754240110994241</v>
      </c>
    </row>
    <row r="19" spans="1:11" x14ac:dyDescent="0.3">
      <c r="A19" s="3"/>
      <c r="B19" s="243"/>
      <c r="C19" s="260"/>
      <c r="D19" s="261"/>
      <c r="E19" s="362"/>
      <c r="F19" s="265"/>
      <c r="G19" s="266"/>
      <c r="H19" s="268"/>
      <c r="I19" s="368"/>
      <c r="J19" s="334"/>
      <c r="K19" s="422"/>
    </row>
    <row r="20" spans="1:11" x14ac:dyDescent="0.3">
      <c r="A20" s="1" t="s">
        <v>38</v>
      </c>
      <c r="B20" s="243"/>
      <c r="C20" s="260"/>
      <c r="D20" s="261"/>
      <c r="E20" s="362"/>
      <c r="F20" s="265"/>
      <c r="G20" s="266"/>
      <c r="H20" s="268"/>
      <c r="I20" s="368"/>
      <c r="J20" s="334"/>
      <c r="K20" s="422"/>
    </row>
    <row r="21" spans="1:11" x14ac:dyDescent="0.3">
      <c r="A21" s="8" t="s">
        <v>39</v>
      </c>
      <c r="B21" s="242">
        <f>'[2]Script (key results)'!$B$52/1000</f>
        <v>111.363</v>
      </c>
      <c r="C21" s="276">
        <v>235.71899999999999</v>
      </c>
      <c r="D21" s="277">
        <f>C21-B21</f>
        <v>124.35599999999999</v>
      </c>
      <c r="E21" s="361">
        <f>(C21-B21)/B21</f>
        <v>1.1166725034347134</v>
      </c>
      <c r="F21" s="266">
        <v>235.71899999999999</v>
      </c>
      <c r="G21" s="266">
        <f t="shared" si="0"/>
        <v>124.35599999999999</v>
      </c>
      <c r="H21" s="268">
        <f t="shared" si="1"/>
        <v>1.1166725034347134</v>
      </c>
      <c r="I21" s="369">
        <v>215.13399999999999</v>
      </c>
      <c r="J21" s="333">
        <v>103.77099999999999</v>
      </c>
      <c r="K21" s="421">
        <v>0.93182654921293417</v>
      </c>
    </row>
    <row r="22" spans="1:11" x14ac:dyDescent="0.3">
      <c r="A22" s="8" t="s">
        <v>35</v>
      </c>
      <c r="B22" s="355">
        <f>'[2]Script (key results)'!$B$54/1000000</f>
        <v>534.26860799999997</v>
      </c>
      <c r="C22" s="335">
        <v>1557.0682879999999</v>
      </c>
      <c r="D22" s="347">
        <f>C22-B22</f>
        <v>1022.79968</v>
      </c>
      <c r="E22" s="361">
        <f>(C22-B22)/B22</f>
        <v>1.914392245183157</v>
      </c>
      <c r="F22" s="336">
        <v>1557.0682879999999</v>
      </c>
      <c r="G22" s="266">
        <f t="shared" si="0"/>
        <v>1022.79968</v>
      </c>
      <c r="H22" s="268">
        <f t="shared" si="1"/>
        <v>1.914392245183157</v>
      </c>
      <c r="I22" s="367">
        <v>1226.4175359999999</v>
      </c>
      <c r="J22" s="337">
        <v>692.14892799999996</v>
      </c>
      <c r="K22" s="421">
        <v>1.2955073864268665</v>
      </c>
    </row>
    <row r="23" spans="1:11" x14ac:dyDescent="0.3">
      <c r="A23" s="3"/>
      <c r="B23" s="243"/>
      <c r="C23" s="260"/>
      <c r="D23" s="261"/>
      <c r="E23" s="362"/>
      <c r="F23" s="265"/>
      <c r="G23" s="266"/>
      <c r="H23" s="268"/>
      <c r="I23" s="368"/>
      <c r="J23" s="334"/>
      <c r="K23" s="422"/>
    </row>
    <row r="24" spans="1:11" x14ac:dyDescent="0.3">
      <c r="A24" s="1" t="s">
        <v>40</v>
      </c>
      <c r="B24" s="243"/>
      <c r="C24" s="260"/>
      <c r="D24" s="261"/>
      <c r="E24" s="362"/>
      <c r="F24" s="265"/>
      <c r="G24" s="266"/>
      <c r="H24" s="268"/>
      <c r="I24" s="368"/>
      <c r="J24" s="334"/>
      <c r="K24" s="422"/>
    </row>
    <row r="25" spans="1:11" x14ac:dyDescent="0.3">
      <c r="A25" s="8" t="s">
        <v>41</v>
      </c>
      <c r="B25" s="242">
        <f>'[2]Script (key results)'!$B$15/1000</f>
        <v>230.62100000000001</v>
      </c>
      <c r="C25" s="276">
        <v>274.887</v>
      </c>
      <c r="D25" s="277">
        <f>C25-B25</f>
        <v>44.265999999999991</v>
      </c>
      <c r="E25" s="361">
        <f>(C25-B25)/B25</f>
        <v>0.19194262447912372</v>
      </c>
      <c r="F25" s="266">
        <v>274.887</v>
      </c>
      <c r="G25" s="266">
        <f t="shared" si="0"/>
        <v>44.265999999999991</v>
      </c>
      <c r="H25" s="268">
        <f t="shared" si="1"/>
        <v>0.19194262447912372</v>
      </c>
      <c r="I25" s="369">
        <v>259.37400000000002</v>
      </c>
      <c r="J25" s="333">
        <v>28.753000000000014</v>
      </c>
      <c r="K25" s="421">
        <v>0.12467641715195066</v>
      </c>
    </row>
    <row r="26" spans="1:11" x14ac:dyDescent="0.3">
      <c r="A26" s="8" t="s">
        <v>91</v>
      </c>
      <c r="B26" s="355">
        <f>'[2]Script (key results)'!$B$13</f>
        <v>2509.2199999999998</v>
      </c>
      <c r="C26" s="335">
        <v>2882.22</v>
      </c>
      <c r="D26" s="347">
        <f>C26-B26</f>
        <v>373</v>
      </c>
      <c r="E26" s="361">
        <f>(C26-B26)/B26</f>
        <v>0.14865177226389079</v>
      </c>
      <c r="F26" s="336">
        <v>2882.22</v>
      </c>
      <c r="G26" s="266">
        <f t="shared" si="0"/>
        <v>373</v>
      </c>
      <c r="H26" s="268">
        <f t="shared" si="1"/>
        <v>0.14865177226389079</v>
      </c>
      <c r="I26" s="367">
        <v>2753.13</v>
      </c>
      <c r="J26" s="337">
        <v>243.91000000000031</v>
      </c>
      <c r="K26" s="421">
        <v>9.7205506093527197E-2</v>
      </c>
    </row>
    <row r="27" spans="1:11" x14ac:dyDescent="0.3">
      <c r="A27" s="3"/>
      <c r="B27" s="243"/>
      <c r="C27" s="260"/>
      <c r="D27" s="261"/>
      <c r="E27" s="362"/>
      <c r="F27" s="265"/>
      <c r="G27" s="266"/>
      <c r="H27" s="268"/>
      <c r="I27" s="368"/>
      <c r="J27" s="334"/>
      <c r="K27" s="422"/>
    </row>
    <row r="28" spans="1:11" x14ac:dyDescent="0.3">
      <c r="A28" s="1" t="s">
        <v>42</v>
      </c>
      <c r="B28" s="243"/>
      <c r="C28" s="260"/>
      <c r="D28" s="261"/>
      <c r="E28" s="362"/>
      <c r="F28" s="265"/>
      <c r="G28" s="266"/>
      <c r="H28" s="268"/>
      <c r="I28" s="368"/>
      <c r="J28" s="334"/>
      <c r="K28" s="422"/>
    </row>
    <row r="29" spans="1:11" x14ac:dyDescent="0.3">
      <c r="A29" s="8" t="s">
        <v>43</v>
      </c>
      <c r="B29" s="242">
        <f>'[2]Script (key results)'!$B$56/1000</f>
        <v>546.38499999999999</v>
      </c>
      <c r="C29" s="276">
        <v>976.30899999999997</v>
      </c>
      <c r="D29" s="277">
        <f>C29-B29</f>
        <v>429.92399999999998</v>
      </c>
      <c r="E29" s="361">
        <f>(C29-B29)/B29</f>
        <v>0.78685176203592699</v>
      </c>
      <c r="F29" s="266">
        <v>976.30899999999997</v>
      </c>
      <c r="G29" s="266">
        <f t="shared" si="0"/>
        <v>429.92399999999998</v>
      </c>
      <c r="H29" s="268">
        <f t="shared" si="1"/>
        <v>0.78685176203592699</v>
      </c>
      <c r="I29" s="369">
        <v>979.15800000000002</v>
      </c>
      <c r="J29" s="333">
        <v>432.77300000000002</v>
      </c>
      <c r="K29" s="421">
        <v>0.79206603402362807</v>
      </c>
    </row>
    <row r="30" spans="1:11" ht="14.5" x14ac:dyDescent="0.3">
      <c r="A30" s="8" t="s">
        <v>81</v>
      </c>
      <c r="B30" s="355">
        <f>'[2]Script (key results)'!$B$60/1000000</f>
        <v>7275.5747840000004</v>
      </c>
      <c r="C30" s="335">
        <v>10354.587648000001</v>
      </c>
      <c r="D30" s="347">
        <f>C30-B30</f>
        <v>3079.0128640000003</v>
      </c>
      <c r="E30" s="361">
        <f>(C30-B30)/B30</f>
        <v>0.42319857267788347</v>
      </c>
      <c r="F30" s="336">
        <v>10354.587648000001</v>
      </c>
      <c r="G30" s="266">
        <f t="shared" si="0"/>
        <v>3079.0128640000003</v>
      </c>
      <c r="H30" s="268">
        <f t="shared" si="1"/>
        <v>0.42319857267788347</v>
      </c>
      <c r="I30" s="367">
        <v>10492.93312</v>
      </c>
      <c r="J30" s="337">
        <v>3217.3583359999993</v>
      </c>
      <c r="K30" s="421">
        <v>0.44221363005922465</v>
      </c>
    </row>
    <row r="31" spans="1:11" x14ac:dyDescent="0.3">
      <c r="A31" s="3"/>
      <c r="B31" s="243"/>
      <c r="C31" s="260"/>
      <c r="D31" s="261"/>
      <c r="E31" s="362"/>
      <c r="F31" s="265"/>
      <c r="G31" s="266"/>
      <c r="H31" s="268"/>
      <c r="I31" s="368"/>
      <c r="J31" s="334"/>
      <c r="K31" s="422"/>
    </row>
    <row r="32" spans="1:11" x14ac:dyDescent="0.3">
      <c r="A32" s="1" t="s">
        <v>44</v>
      </c>
      <c r="B32" s="243"/>
      <c r="C32" s="260"/>
      <c r="D32" s="261"/>
      <c r="E32" s="362"/>
      <c r="F32" s="265"/>
      <c r="G32" s="266"/>
      <c r="H32" s="268"/>
      <c r="I32" s="368"/>
      <c r="J32" s="334"/>
      <c r="K32" s="422"/>
    </row>
    <row r="33" spans="1:11" x14ac:dyDescent="0.3">
      <c r="A33" s="8" t="s">
        <v>39</v>
      </c>
      <c r="B33" s="242">
        <f>'[2]Script (key results)'!$B$87/1000</f>
        <v>1424.903</v>
      </c>
      <c r="C33" s="276">
        <v>1401.9568333333334</v>
      </c>
      <c r="D33" s="277">
        <f>C33-B33</f>
        <v>-22.946166666666613</v>
      </c>
      <c r="E33" s="361">
        <f>(C33-B33)/B33</f>
        <v>-1.6103669279008193E-2</v>
      </c>
      <c r="F33" s="266">
        <v>1401.9568333333334</v>
      </c>
      <c r="G33" s="266">
        <f t="shared" si="0"/>
        <v>-22.946166666666613</v>
      </c>
      <c r="H33" s="268">
        <f t="shared" si="1"/>
        <v>-1.6103669279008193E-2</v>
      </c>
      <c r="I33" s="369">
        <v>1418.2415833333334</v>
      </c>
      <c r="J33" s="333">
        <v>-6.6614166666665824</v>
      </c>
      <c r="K33" s="421">
        <v>-4.6749965904111243E-3</v>
      </c>
    </row>
    <row r="34" spans="1:11" x14ac:dyDescent="0.3">
      <c r="A34" s="8" t="s">
        <v>35</v>
      </c>
      <c r="B34" s="355">
        <f>'[2]Script (key results)'!$B$88/1000000</f>
        <v>3689.0941440000001</v>
      </c>
      <c r="C34" s="335">
        <v>3117.135976</v>
      </c>
      <c r="D34" s="347">
        <f>C34-B34</f>
        <v>-571.95816800000011</v>
      </c>
      <c r="E34" s="361">
        <f>(C34-B34)/B34</f>
        <v>-0.15504027429883885</v>
      </c>
      <c r="F34" s="336">
        <v>3117.135976</v>
      </c>
      <c r="G34" s="266">
        <f t="shared" si="0"/>
        <v>-571.95816800000011</v>
      </c>
      <c r="H34" s="268">
        <f t="shared" si="1"/>
        <v>-0.15504027429883885</v>
      </c>
      <c r="I34" s="367">
        <v>3322.3940270000003</v>
      </c>
      <c r="J34" s="337">
        <v>-366.70011699999986</v>
      </c>
      <c r="K34" s="421">
        <v>-9.9401127400450498E-2</v>
      </c>
    </row>
    <row r="35" spans="1:11" x14ac:dyDescent="0.3">
      <c r="A35" s="3"/>
      <c r="B35" s="243"/>
      <c r="C35" s="260"/>
      <c r="D35" s="261"/>
      <c r="E35" s="362"/>
      <c r="F35" s="265"/>
      <c r="G35" s="266"/>
      <c r="H35" s="268"/>
      <c r="I35" s="368"/>
      <c r="J35" s="334"/>
      <c r="K35" s="422"/>
    </row>
    <row r="36" spans="1:11" x14ac:dyDescent="0.3">
      <c r="A36" s="1" t="s">
        <v>127</v>
      </c>
      <c r="B36" s="243"/>
      <c r="C36" s="260"/>
      <c r="D36" s="261"/>
      <c r="E36" s="362"/>
      <c r="F36" s="265"/>
      <c r="G36" s="266"/>
      <c r="H36" s="268"/>
      <c r="I36" s="368"/>
      <c r="J36" s="334"/>
      <c r="K36" s="422"/>
    </row>
    <row r="37" spans="1:11" x14ac:dyDescent="0.3">
      <c r="A37" s="8" t="s">
        <v>39</v>
      </c>
      <c r="B37" s="242">
        <v>0</v>
      </c>
      <c r="C37" s="276">
        <v>52.194083333333339</v>
      </c>
      <c r="D37" s="277">
        <f>C37-B37</f>
        <v>52.194083333333339</v>
      </c>
      <c r="E37" s="363" t="s">
        <v>32</v>
      </c>
      <c r="F37" s="266">
        <v>52.194083333333339</v>
      </c>
      <c r="G37" s="266">
        <f t="shared" si="0"/>
        <v>52.194083333333339</v>
      </c>
      <c r="H37" s="348" t="s">
        <v>32</v>
      </c>
      <c r="I37" s="369">
        <v>52.136749999999999</v>
      </c>
      <c r="J37" s="333">
        <v>52.136749999999999</v>
      </c>
      <c r="K37" s="423" t="s">
        <v>32</v>
      </c>
    </row>
    <row r="38" spans="1:11" x14ac:dyDescent="0.3">
      <c r="A38" s="8" t="s">
        <v>35</v>
      </c>
      <c r="B38" s="355">
        <v>0</v>
      </c>
      <c r="C38" s="335">
        <v>131.28662199999999</v>
      </c>
      <c r="D38" s="347">
        <f>C38-B38</f>
        <v>131.28662199999999</v>
      </c>
      <c r="E38" s="363" t="s">
        <v>32</v>
      </c>
      <c r="F38" s="336">
        <v>131.28662199999999</v>
      </c>
      <c r="G38" s="266">
        <f t="shared" si="0"/>
        <v>131.28662199999999</v>
      </c>
      <c r="H38" s="348" t="s">
        <v>32</v>
      </c>
      <c r="I38" s="367">
        <v>130.61901700000001</v>
      </c>
      <c r="J38" s="337">
        <v>130.61901700000001</v>
      </c>
      <c r="K38" s="423" t="s">
        <v>32</v>
      </c>
    </row>
    <row r="39" spans="1:11" x14ac:dyDescent="0.3">
      <c r="A39" s="8"/>
      <c r="B39" s="355"/>
      <c r="C39" s="335"/>
      <c r="D39" s="347"/>
      <c r="E39" s="361"/>
      <c r="F39" s="336"/>
      <c r="G39" s="266"/>
      <c r="H39" s="268"/>
      <c r="I39" s="367"/>
      <c r="J39" s="337"/>
      <c r="K39" s="421"/>
    </row>
    <row r="40" spans="1:11" ht="27.5" x14ac:dyDescent="0.3">
      <c r="A40" s="7" t="s">
        <v>110</v>
      </c>
      <c r="B40" s="243"/>
      <c r="C40" s="260"/>
      <c r="D40" s="261"/>
      <c r="E40" s="362"/>
      <c r="F40" s="265"/>
      <c r="G40" s="266"/>
      <c r="H40" s="268"/>
      <c r="I40" s="368"/>
      <c r="J40" s="334"/>
      <c r="K40" s="422"/>
    </row>
    <row r="41" spans="1:11" x14ac:dyDescent="0.3">
      <c r="A41" s="8" t="s">
        <v>109</v>
      </c>
      <c r="B41" s="242">
        <f>SUM('[2]Script (key results)'!$B$308,'[2]Script (key results)'!$B$310,+'[2]Script (key results)'!$B$306)/1000</f>
        <v>324.18599999999998</v>
      </c>
      <c r="C41" s="276">
        <v>323.98700000000002</v>
      </c>
      <c r="D41" s="277">
        <f>C41-B41</f>
        <v>-0.19899999999995543</v>
      </c>
      <c r="E41" s="361">
        <f>(C41-B41)/B41</f>
        <v>-6.1384513828467442E-4</v>
      </c>
      <c r="F41" s="266">
        <v>323.98700000000002</v>
      </c>
      <c r="G41" s="266">
        <f t="shared" si="0"/>
        <v>-0.19899999999995543</v>
      </c>
      <c r="H41" s="268">
        <f t="shared" si="1"/>
        <v>-6.1384513828467442E-4</v>
      </c>
      <c r="I41" s="369">
        <v>324.18599999999998</v>
      </c>
      <c r="J41" s="333">
        <v>0</v>
      </c>
      <c r="K41" s="421">
        <v>0</v>
      </c>
    </row>
    <row r="42" spans="1:11" x14ac:dyDescent="0.3">
      <c r="A42" s="8" t="s">
        <v>111</v>
      </c>
      <c r="B42" s="355">
        <f>'[2]Script (key results)'!$B$311/1000000</f>
        <v>352.02771200000001</v>
      </c>
      <c r="C42" s="335">
        <v>351.65619199999998</v>
      </c>
      <c r="D42" s="347">
        <f>C42-B42</f>
        <v>-0.37152000000003227</v>
      </c>
      <c r="E42" s="361">
        <f>(C42-B42)/B42</f>
        <v>-1.0553714589379608E-3</v>
      </c>
      <c r="F42" s="336">
        <v>351.65619199999998</v>
      </c>
      <c r="G42" s="266">
        <f t="shared" si="0"/>
        <v>-0.37152000000003227</v>
      </c>
      <c r="H42" s="268">
        <f t="shared" si="1"/>
        <v>-1.0553714589379608E-3</v>
      </c>
      <c r="I42" s="367">
        <v>352.02771200000001</v>
      </c>
      <c r="J42" s="337">
        <v>0</v>
      </c>
      <c r="K42" s="421">
        <v>0</v>
      </c>
    </row>
    <row r="43" spans="1:11" x14ac:dyDescent="0.3">
      <c r="A43" s="3"/>
      <c r="B43" s="243"/>
      <c r="C43" s="260"/>
      <c r="D43" s="261"/>
      <c r="E43" s="362"/>
      <c r="F43" s="265"/>
      <c r="G43" s="266"/>
      <c r="H43" s="268"/>
      <c r="I43" s="368"/>
      <c r="J43" s="334"/>
      <c r="K43" s="422"/>
    </row>
    <row r="44" spans="1:11" x14ac:dyDescent="0.3">
      <c r="A44" s="1" t="s">
        <v>45</v>
      </c>
      <c r="B44" s="243"/>
      <c r="C44" s="260"/>
      <c r="D44" s="261"/>
      <c r="E44" s="362"/>
      <c r="F44" s="265"/>
      <c r="G44" s="266"/>
      <c r="H44" s="268"/>
      <c r="I44" s="368"/>
      <c r="J44" s="334"/>
      <c r="K44" s="422"/>
    </row>
    <row r="45" spans="1:11" x14ac:dyDescent="0.3">
      <c r="A45" s="8" t="s">
        <v>46</v>
      </c>
      <c r="B45" s="242">
        <f>'[2]Script (key results)'!$B$70/1000</f>
        <v>1469.027</v>
      </c>
      <c r="C45" s="276">
        <v>1470.519</v>
      </c>
      <c r="D45" s="277">
        <f>C45-B45</f>
        <v>1.4919999999999618</v>
      </c>
      <c r="E45" s="361">
        <f>(C45-B45)/B45</f>
        <v>1.0156382421834056E-3</v>
      </c>
      <c r="F45" s="266">
        <v>1470.519</v>
      </c>
      <c r="G45" s="266">
        <f t="shared" si="0"/>
        <v>1.4919999999999618</v>
      </c>
      <c r="H45" s="268">
        <f t="shared" si="1"/>
        <v>1.0156382421834056E-3</v>
      </c>
      <c r="I45" s="369">
        <v>1469.877</v>
      </c>
      <c r="J45" s="333">
        <v>0.84999999999990905</v>
      </c>
      <c r="K45" s="421">
        <v>5.7861428006422547E-4</v>
      </c>
    </row>
    <row r="46" spans="1:11" ht="14.5" x14ac:dyDescent="0.3">
      <c r="A46" s="8" t="s">
        <v>99</v>
      </c>
      <c r="B46" s="355">
        <f>'[2]Script (key results)'!$B$71/1000000</f>
        <v>226.901568</v>
      </c>
      <c r="C46" s="335">
        <v>223.67897600000001</v>
      </c>
      <c r="D46" s="347">
        <f>C46-B46</f>
        <v>-3.2225919999999917</v>
      </c>
      <c r="E46" s="361">
        <f>(C46-B46)/B46</f>
        <v>-1.4202599075912916E-2</v>
      </c>
      <c r="F46" s="336">
        <v>223.67897600000001</v>
      </c>
      <c r="G46" s="266">
        <f t="shared" si="0"/>
        <v>-3.2225919999999917</v>
      </c>
      <c r="H46" s="268">
        <f t="shared" si="1"/>
        <v>-1.4202599075912916E-2</v>
      </c>
      <c r="I46" s="367">
        <v>223.59996799999999</v>
      </c>
      <c r="J46" s="337">
        <v>-3.3016000000000076</v>
      </c>
      <c r="K46" s="421">
        <v>-1.4550802927902234E-2</v>
      </c>
    </row>
    <row r="47" spans="1:11" x14ac:dyDescent="0.3">
      <c r="A47" s="3"/>
      <c r="B47" s="243"/>
      <c r="C47" s="260"/>
      <c r="D47" s="261"/>
      <c r="E47" s="362"/>
      <c r="F47" s="265"/>
      <c r="G47" s="266"/>
      <c r="H47" s="268"/>
      <c r="I47" s="368"/>
      <c r="J47" s="334"/>
      <c r="K47" s="422"/>
    </row>
    <row r="48" spans="1:11" x14ac:dyDescent="0.3">
      <c r="A48" s="1" t="s">
        <v>92</v>
      </c>
      <c r="B48" s="243"/>
      <c r="C48" s="260"/>
      <c r="D48" s="261"/>
      <c r="E48" s="362"/>
      <c r="F48" s="265"/>
      <c r="G48" s="266"/>
      <c r="H48" s="268"/>
      <c r="I48" s="368"/>
      <c r="J48" s="334"/>
      <c r="K48" s="422"/>
    </row>
    <row r="49" spans="1:11" x14ac:dyDescent="0.3">
      <c r="A49" s="8" t="s">
        <v>93</v>
      </c>
      <c r="B49" s="355">
        <f>(+'[2]Script (key results)'!$B$276+'[2]Script (key results)'!$B$277)/1000000</f>
        <v>36264.535936</v>
      </c>
      <c r="C49" s="335">
        <v>32995.578112000003</v>
      </c>
      <c r="D49" s="347">
        <f t="shared" ref="D49" si="2">C49-B49</f>
        <v>-3268.9578239999973</v>
      </c>
      <c r="E49" s="361">
        <f t="shared" ref="E49:E58" si="3">(C49-B49)/B49</f>
        <v>-9.0142000707497963E-2</v>
      </c>
      <c r="F49" s="336">
        <v>35314.485119999998</v>
      </c>
      <c r="G49" s="266">
        <f t="shared" si="0"/>
        <v>-950.05081600000267</v>
      </c>
      <c r="H49" s="268">
        <f t="shared" si="1"/>
        <v>-2.6197793284233981E-2</v>
      </c>
      <c r="I49" s="367">
        <v>32496.350719999999</v>
      </c>
      <c r="J49" s="337">
        <v>-3768.1852160000017</v>
      </c>
      <c r="K49" s="421">
        <v>-0.10390827067662277</v>
      </c>
    </row>
    <row r="50" spans="1:11" x14ac:dyDescent="0.3">
      <c r="A50" s="8" t="s">
        <v>77</v>
      </c>
      <c r="B50" s="243"/>
      <c r="C50" s="260"/>
      <c r="D50" s="261"/>
      <c r="E50" s="361"/>
      <c r="F50" s="265"/>
      <c r="G50" s="266"/>
      <c r="H50" s="268"/>
      <c r="I50" s="368"/>
      <c r="J50" s="334"/>
      <c r="K50" s="421"/>
    </row>
    <row r="51" spans="1:11" x14ac:dyDescent="0.3">
      <c r="A51" s="4" t="s">
        <v>79</v>
      </c>
      <c r="B51" s="242">
        <f>+'[2]Script (key results)'!$B$278/1000</f>
        <v>1004.818</v>
      </c>
      <c r="C51" s="276">
        <v>1004.818</v>
      </c>
      <c r="D51" s="277">
        <f>C51-B51</f>
        <v>0</v>
      </c>
      <c r="E51" s="361">
        <f t="shared" si="3"/>
        <v>0</v>
      </c>
      <c r="F51" s="266">
        <v>1004.818</v>
      </c>
      <c r="G51" s="266">
        <f t="shared" si="0"/>
        <v>0</v>
      </c>
      <c r="H51" s="268">
        <f t="shared" si="1"/>
        <v>0</v>
      </c>
      <c r="I51" s="369">
        <v>1004.818</v>
      </c>
      <c r="J51" s="333">
        <v>0</v>
      </c>
      <c r="K51" s="421">
        <v>0</v>
      </c>
    </row>
    <row r="52" spans="1:11" x14ac:dyDescent="0.3">
      <c r="A52" s="4" t="s">
        <v>80</v>
      </c>
      <c r="B52" s="355">
        <f>+(('[2]Script (key results)'!$B$278)*'[2]Script (key results)'!$B$279)/1000000</f>
        <v>619.97270600000002</v>
      </c>
      <c r="C52" s="335">
        <v>619.97270600000002</v>
      </c>
      <c r="D52" s="347">
        <f>C52-B52</f>
        <v>0</v>
      </c>
      <c r="E52" s="361">
        <f t="shared" si="3"/>
        <v>0</v>
      </c>
      <c r="F52" s="336">
        <v>619.97270600000002</v>
      </c>
      <c r="G52" s="266">
        <f t="shared" si="0"/>
        <v>0</v>
      </c>
      <c r="H52" s="268">
        <f t="shared" si="1"/>
        <v>0</v>
      </c>
      <c r="I52" s="367">
        <v>619.97270600000002</v>
      </c>
      <c r="J52" s="337">
        <v>0</v>
      </c>
      <c r="K52" s="421">
        <v>0</v>
      </c>
    </row>
    <row r="53" spans="1:11" x14ac:dyDescent="0.3">
      <c r="A53" s="8" t="s">
        <v>116</v>
      </c>
      <c r="B53" s="355"/>
      <c r="C53" s="335"/>
      <c r="D53" s="347"/>
      <c r="E53" s="361"/>
      <c r="F53" s="336"/>
      <c r="G53" s="266"/>
      <c r="H53" s="268"/>
      <c r="I53" s="367"/>
      <c r="J53" s="337"/>
      <c r="K53" s="421"/>
    </row>
    <row r="54" spans="1:11" x14ac:dyDescent="0.3">
      <c r="A54" s="4" t="s">
        <v>79</v>
      </c>
      <c r="B54" s="242">
        <f>+[2]ESCC!$B$8/1000</f>
        <v>1524.1769999999999</v>
      </c>
      <c r="C54" s="276">
        <v>1606.41</v>
      </c>
      <c r="D54" s="277">
        <f>C54-B54</f>
        <v>82.233000000000175</v>
      </c>
      <c r="E54" s="361">
        <f t="shared" ref="E54:E55" si="4">(C54-B54)/B54</f>
        <v>5.3952395292672817E-2</v>
      </c>
      <c r="F54" s="266">
        <v>1460.07</v>
      </c>
      <c r="G54" s="266">
        <f t="shared" si="0"/>
        <v>-64.106999999999971</v>
      </c>
      <c r="H54" s="268">
        <f t="shared" si="1"/>
        <v>-4.2060075699869484E-2</v>
      </c>
      <c r="I54" s="369">
        <v>1626</v>
      </c>
      <c r="J54" s="333">
        <v>101.82300000000009</v>
      </c>
      <c r="K54" s="421">
        <v>6.6805233250469012E-2</v>
      </c>
    </row>
    <row r="55" spans="1:11" x14ac:dyDescent="0.3">
      <c r="A55" s="4" t="s">
        <v>80</v>
      </c>
      <c r="B55" s="355">
        <f>+[2]ESCC!$C$8/1000000</f>
        <v>737.90217399999995</v>
      </c>
      <c r="C55" s="335">
        <v>4009.98</v>
      </c>
      <c r="D55" s="347">
        <f>C55-B55</f>
        <v>3272.0778260000002</v>
      </c>
      <c r="E55" s="361">
        <f t="shared" si="4"/>
        <v>4.4342975821074084</v>
      </c>
      <c r="F55" s="336">
        <v>1691.07</v>
      </c>
      <c r="G55" s="266">
        <f t="shared" si="0"/>
        <v>953.16782599999999</v>
      </c>
      <c r="H55" s="268">
        <f t="shared" si="1"/>
        <v>1.2917265453130378</v>
      </c>
      <c r="I55" s="367">
        <v>4508.26</v>
      </c>
      <c r="J55" s="337">
        <v>3770.3578260000004</v>
      </c>
      <c r="K55" s="421">
        <v>5.1095632440838976</v>
      </c>
    </row>
    <row r="56" spans="1:11" x14ac:dyDescent="0.3">
      <c r="A56" s="8" t="s">
        <v>78</v>
      </c>
      <c r="B56" s="355"/>
      <c r="C56" s="335"/>
      <c r="D56" s="347"/>
      <c r="E56" s="361"/>
      <c r="F56" s="336"/>
      <c r="G56" s="266"/>
      <c r="H56" s="268"/>
      <c r="I56" s="367"/>
      <c r="J56" s="337"/>
      <c r="K56" s="421"/>
    </row>
    <row r="57" spans="1:11" x14ac:dyDescent="0.3">
      <c r="A57" s="4" t="s">
        <v>79</v>
      </c>
      <c r="B57" s="242">
        <f>+'[2]Script (key results)'!$B$280/1000</f>
        <v>483.375</v>
      </c>
      <c r="C57" s="276">
        <v>466.72199999999998</v>
      </c>
      <c r="D57" s="277">
        <f>C57-B57</f>
        <v>-16.65300000000002</v>
      </c>
      <c r="E57" s="361">
        <f t="shared" si="3"/>
        <v>-3.4451512800620678E-2</v>
      </c>
      <c r="F57" s="266">
        <v>466.72199999999998</v>
      </c>
      <c r="G57" s="266">
        <f t="shared" si="0"/>
        <v>-16.65300000000002</v>
      </c>
      <c r="H57" s="268">
        <f t="shared" si="1"/>
        <v>-3.4451512800620678E-2</v>
      </c>
      <c r="I57" s="369">
        <v>470.79599999999999</v>
      </c>
      <c r="J57" s="333">
        <v>-12.579000000000008</v>
      </c>
      <c r="K57" s="421">
        <v>-2.6023273855702109E-2</v>
      </c>
    </row>
    <row r="58" spans="1:11" x14ac:dyDescent="0.3">
      <c r="A58" s="4" t="s">
        <v>80</v>
      </c>
      <c r="B58" s="355">
        <f>+('[2]Script (key results)'!$B$280*'[2]Script (key results)'!$B$281)/1000000</f>
        <v>181.265625</v>
      </c>
      <c r="C58" s="335">
        <v>178.28780399999999</v>
      </c>
      <c r="D58" s="347">
        <f>C58-B58</f>
        <v>-2.9778210000000058</v>
      </c>
      <c r="E58" s="361">
        <f t="shared" si="3"/>
        <v>-1.6427941039565588E-2</v>
      </c>
      <c r="F58" s="336">
        <v>178.28780399999999</v>
      </c>
      <c r="G58" s="266">
        <f t="shared" si="0"/>
        <v>-2.9778210000000058</v>
      </c>
      <c r="H58" s="268">
        <f t="shared" si="1"/>
        <v>-1.6427941039565588E-2</v>
      </c>
      <c r="I58" s="367">
        <v>178.90248</v>
      </c>
      <c r="J58" s="337">
        <v>-2.3631450000000029</v>
      </c>
      <c r="K58" s="421">
        <v>-1.3036917507111473E-2</v>
      </c>
    </row>
    <row r="59" spans="1:11" x14ac:dyDescent="0.3">
      <c r="A59" s="8" t="s">
        <v>85</v>
      </c>
      <c r="B59" s="243"/>
      <c r="C59" s="260"/>
      <c r="D59" s="261"/>
      <c r="E59" s="361"/>
      <c r="F59" s="265"/>
      <c r="G59" s="266"/>
      <c r="H59" s="268"/>
      <c r="I59" s="368"/>
      <c r="J59" s="334"/>
      <c r="K59" s="421"/>
    </row>
    <row r="60" spans="1:11" x14ac:dyDescent="0.3">
      <c r="A60" s="4" t="s">
        <v>79</v>
      </c>
      <c r="B60" s="243">
        <v>0</v>
      </c>
      <c r="C60" s="260">
        <v>0</v>
      </c>
      <c r="D60" s="277">
        <f>C60-B60</f>
        <v>0</v>
      </c>
      <c r="E60" s="361" t="str">
        <f>IF(B60-C60&lt;&gt;0,(C60-B60)/B60,"--")</f>
        <v>--</v>
      </c>
      <c r="F60" s="265">
        <v>0</v>
      </c>
      <c r="G60" s="266">
        <f t="shared" si="0"/>
        <v>0</v>
      </c>
      <c r="H60" s="348" t="s">
        <v>32</v>
      </c>
      <c r="I60" s="368">
        <v>0</v>
      </c>
      <c r="J60" s="333">
        <v>0</v>
      </c>
      <c r="K60" s="421" t="s">
        <v>32</v>
      </c>
    </row>
    <row r="61" spans="1:11" x14ac:dyDescent="0.3">
      <c r="A61" s="4" t="s">
        <v>80</v>
      </c>
      <c r="B61" s="243">
        <v>0</v>
      </c>
      <c r="C61" s="260">
        <v>0</v>
      </c>
      <c r="D61" s="347">
        <f>C61-B61</f>
        <v>0</v>
      </c>
      <c r="E61" s="361" t="str">
        <f>IF(B61-C61&lt;&gt;0,(C61-B61)/B61,"--")</f>
        <v>--</v>
      </c>
      <c r="F61" s="265">
        <v>0</v>
      </c>
      <c r="G61" s="266">
        <f>F61-B61</f>
        <v>0</v>
      </c>
      <c r="H61" s="348" t="s">
        <v>32</v>
      </c>
      <c r="I61" s="368">
        <v>0</v>
      </c>
      <c r="J61" s="337">
        <v>0</v>
      </c>
      <c r="K61" s="421" t="s">
        <v>32</v>
      </c>
    </row>
    <row r="62" spans="1:11" x14ac:dyDescent="0.3">
      <c r="A62" s="4"/>
      <c r="B62" s="243"/>
      <c r="C62" s="260"/>
      <c r="D62" s="277"/>
      <c r="E62" s="361"/>
      <c r="F62" s="265"/>
      <c r="G62" s="266"/>
      <c r="H62" s="268"/>
      <c r="I62" s="368"/>
      <c r="J62" s="333"/>
      <c r="K62" s="421"/>
    </row>
    <row r="63" spans="1:11" x14ac:dyDescent="0.3">
      <c r="A63" s="1" t="s">
        <v>94</v>
      </c>
      <c r="B63" s="243"/>
      <c r="C63" s="260"/>
      <c r="D63" s="277"/>
      <c r="E63" s="361"/>
      <c r="F63" s="265"/>
      <c r="G63" s="266"/>
      <c r="H63" s="268"/>
      <c r="I63" s="368"/>
      <c r="J63" s="333"/>
      <c r="K63" s="421"/>
    </row>
    <row r="64" spans="1:11" x14ac:dyDescent="0.3">
      <c r="A64" s="8" t="s">
        <v>95</v>
      </c>
      <c r="B64" s="355">
        <f>+('[2]Script (key results)'!$B$22+'[2]Script (key results)'!$B$23)/1000000</f>
        <v>10650.410672</v>
      </c>
      <c r="C64" s="335">
        <v>10647.810936</v>
      </c>
      <c r="D64" s="349">
        <f>C64-B64</f>
        <v>-2.5997360000001208</v>
      </c>
      <c r="E64" s="361">
        <f t="shared" ref="E64" si="5">(C64-B64)/B64</f>
        <v>-2.4409725409320075E-4</v>
      </c>
      <c r="F64" s="336">
        <v>10649.919352000001</v>
      </c>
      <c r="G64" s="266">
        <f t="shared" si="0"/>
        <v>-0.49131999999917753</v>
      </c>
      <c r="H64" s="268">
        <f t="shared" si="1"/>
        <v>-4.6131554465863091E-5</v>
      </c>
      <c r="I64" s="367">
        <v>10647.520632</v>
      </c>
      <c r="J64" s="350">
        <v>-2.8900400000002264</v>
      </c>
      <c r="K64" s="421">
        <v>-2.7135479457127045E-4</v>
      </c>
    </row>
    <row r="65" spans="1:11" x14ac:dyDescent="0.3">
      <c r="A65" s="8"/>
      <c r="B65" s="355"/>
      <c r="C65" s="335"/>
      <c r="D65" s="347"/>
      <c r="E65" s="361"/>
      <c r="F65" s="336"/>
      <c r="G65" s="266"/>
      <c r="H65" s="268"/>
      <c r="I65" s="367"/>
      <c r="J65" s="337"/>
      <c r="K65" s="421"/>
    </row>
    <row r="66" spans="1:11" x14ac:dyDescent="0.3">
      <c r="A66" s="1" t="s">
        <v>104</v>
      </c>
      <c r="B66" s="243"/>
      <c r="C66" s="260"/>
      <c r="D66" s="261"/>
      <c r="E66" s="362"/>
      <c r="F66" s="265"/>
      <c r="G66" s="266"/>
      <c r="H66" s="268"/>
      <c r="I66" s="368"/>
      <c r="J66" s="334"/>
      <c r="K66" s="422"/>
    </row>
    <row r="67" spans="1:11" ht="14.5" x14ac:dyDescent="0.3">
      <c r="A67" s="8" t="s">
        <v>106</v>
      </c>
      <c r="B67" s="355">
        <f>+'[2]Script (key results)'!$B$73+'[2]Script (key results)'!$B$74+'[2]Script (key results)'!$B$75</f>
        <v>85013</v>
      </c>
      <c r="C67" s="335">
        <v>85013</v>
      </c>
      <c r="D67" s="347">
        <f t="shared" ref="D67:D68" si="6">C67-B67</f>
        <v>0</v>
      </c>
      <c r="E67" s="361">
        <f t="shared" ref="E67:E68" si="7">(C67-B67)/B67</f>
        <v>0</v>
      </c>
      <c r="F67" s="336">
        <v>85013</v>
      </c>
      <c r="G67" s="266">
        <f t="shared" si="0"/>
        <v>0</v>
      </c>
      <c r="H67" s="268">
        <f t="shared" si="1"/>
        <v>0</v>
      </c>
      <c r="I67" s="367">
        <v>85013</v>
      </c>
      <c r="J67" s="337">
        <v>0</v>
      </c>
      <c r="K67" s="421">
        <v>0</v>
      </c>
    </row>
    <row r="68" spans="1:11" ht="13.5" thickBot="1" x14ac:dyDescent="0.35">
      <c r="A68" s="8" t="s">
        <v>105</v>
      </c>
      <c r="B68" s="356">
        <f>+'[2]Script (key results)'!$B$34+'[2]Script (key results)'!$B$35</f>
        <v>106970</v>
      </c>
      <c r="C68" s="339">
        <v>106970</v>
      </c>
      <c r="D68" s="351">
        <f t="shared" si="6"/>
        <v>0</v>
      </c>
      <c r="E68" s="364">
        <f t="shared" si="7"/>
        <v>0</v>
      </c>
      <c r="F68" s="340">
        <v>106970</v>
      </c>
      <c r="G68" s="289">
        <f t="shared" si="0"/>
        <v>0</v>
      </c>
      <c r="H68" s="288">
        <f t="shared" si="1"/>
        <v>0</v>
      </c>
      <c r="I68" s="370">
        <v>106970</v>
      </c>
      <c r="J68" s="341">
        <v>0</v>
      </c>
      <c r="K68" s="424">
        <v>0</v>
      </c>
    </row>
    <row r="69" spans="1:11" x14ac:dyDescent="0.3">
      <c r="A69" s="460" t="s">
        <v>76</v>
      </c>
      <c r="B69" s="455"/>
      <c r="C69" s="455"/>
      <c r="D69" s="455"/>
      <c r="E69" s="455"/>
    </row>
    <row r="70" spans="1:11" ht="78" customHeight="1" x14ac:dyDescent="0.3">
      <c r="A70" s="455" t="s">
        <v>126</v>
      </c>
      <c r="B70" s="455"/>
      <c r="C70" s="455"/>
      <c r="D70" s="455"/>
      <c r="E70" s="455"/>
    </row>
    <row r="71" spans="1:11" ht="41.15" customHeight="1" x14ac:dyDescent="0.3">
      <c r="A71" s="448" t="s">
        <v>120</v>
      </c>
      <c r="B71" s="448"/>
      <c r="C71" s="448"/>
      <c r="D71" s="448"/>
      <c r="E71" s="448"/>
    </row>
  </sheetData>
  <mergeCells count="8">
    <mergeCell ref="I6:K6"/>
    <mergeCell ref="F6:H6"/>
    <mergeCell ref="A71:E71"/>
    <mergeCell ref="A2:E2"/>
    <mergeCell ref="A69:E69"/>
    <mergeCell ref="A70:E70"/>
    <mergeCell ref="C6:E6"/>
    <mergeCell ref="A3:E3"/>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A87C-1B80-44D5-871B-1C98F5CE24A0}">
  <dimension ref="A1:K14"/>
  <sheetViews>
    <sheetView workbookViewId="0">
      <selection activeCell="G14" sqref="G14"/>
    </sheetView>
  </sheetViews>
  <sheetFormatPr defaultColWidth="9.1796875" defaultRowHeight="13" x14ac:dyDescent="0.3"/>
  <cols>
    <col min="1" max="1" width="43.54296875" style="1" customWidth="1"/>
    <col min="2" max="2" width="14.81640625" style="13" customWidth="1"/>
    <col min="3" max="5" width="13.54296875" style="13" customWidth="1"/>
    <col min="6" max="11" width="13.54296875" style="1" customWidth="1"/>
    <col min="12" max="16384" width="9.1796875" style="1"/>
  </cols>
  <sheetData>
    <row r="1" spans="1:11" s="20" customFormat="1" x14ac:dyDescent="0.3">
      <c r="A1" s="18" t="s">
        <v>75</v>
      </c>
      <c r="B1" s="15"/>
      <c r="C1" s="15"/>
      <c r="D1" s="15"/>
      <c r="E1" s="15"/>
    </row>
    <row r="2" spans="1:11" s="20" customFormat="1" x14ac:dyDescent="0.3">
      <c r="A2" s="449" t="s">
        <v>207</v>
      </c>
      <c r="B2" s="450"/>
      <c r="C2" s="450"/>
      <c r="D2" s="450"/>
      <c r="E2" s="450"/>
    </row>
    <row r="3" spans="1:11" s="20" customFormat="1" ht="27" customHeight="1" x14ac:dyDescent="0.3">
      <c r="A3" s="467" t="s">
        <v>118</v>
      </c>
      <c r="B3" s="467"/>
      <c r="C3" s="467"/>
      <c r="D3" s="467"/>
      <c r="E3" s="467"/>
    </row>
    <row r="4" spans="1:11" s="20" customFormat="1" x14ac:dyDescent="0.3">
      <c r="A4" s="23" t="s">
        <v>119</v>
      </c>
      <c r="B4" s="15"/>
      <c r="C4" s="15"/>
      <c r="D4" s="15"/>
      <c r="E4" s="15"/>
    </row>
    <row r="5" spans="1:11" s="23" customFormat="1" x14ac:dyDescent="0.3">
      <c r="A5" s="20" t="s">
        <v>102</v>
      </c>
      <c r="B5" s="22"/>
      <c r="C5" s="22"/>
      <c r="D5" s="22"/>
      <c r="E5" s="22"/>
    </row>
    <row r="6" spans="1:11" s="20" customFormat="1" ht="13.5" customHeight="1" x14ac:dyDescent="0.3">
      <c r="B6" s="401" t="s">
        <v>129</v>
      </c>
      <c r="C6" s="452" t="s">
        <v>195</v>
      </c>
      <c r="D6" s="453"/>
      <c r="E6" s="453"/>
      <c r="F6" s="446" t="s">
        <v>196</v>
      </c>
      <c r="G6" s="457"/>
      <c r="H6" s="457"/>
      <c r="I6" s="444" t="s">
        <v>197</v>
      </c>
      <c r="J6" s="445"/>
      <c r="K6" s="445"/>
    </row>
    <row r="7" spans="1:11" s="20" customFormat="1" ht="39.5" thickBot="1" x14ac:dyDescent="0.35">
      <c r="A7" s="21"/>
      <c r="B7" s="352" t="s">
        <v>31</v>
      </c>
      <c r="C7" s="236" t="s">
        <v>30</v>
      </c>
      <c r="D7" s="237" t="s">
        <v>108</v>
      </c>
      <c r="E7" s="357" t="s">
        <v>68</v>
      </c>
      <c r="F7" s="238" t="s">
        <v>30</v>
      </c>
      <c r="G7" s="239" t="s">
        <v>108</v>
      </c>
      <c r="H7" s="390" t="s">
        <v>68</v>
      </c>
      <c r="I7" s="240" t="s">
        <v>30</v>
      </c>
      <c r="J7" s="241" t="s">
        <v>108</v>
      </c>
      <c r="K7" s="307" t="s">
        <v>68</v>
      </c>
    </row>
    <row r="8" spans="1:11" ht="27.5" x14ac:dyDescent="0.3">
      <c r="A8" s="16" t="s">
        <v>107</v>
      </c>
      <c r="B8" s="372"/>
      <c r="C8" s="397"/>
      <c r="D8" s="373"/>
      <c r="E8" s="359"/>
      <c r="F8" s="391"/>
      <c r="G8" s="374"/>
      <c r="H8" s="392"/>
      <c r="I8" s="384"/>
      <c r="J8" s="375"/>
      <c r="K8" s="385"/>
    </row>
    <row r="9" spans="1:11" ht="14.5" x14ac:dyDescent="0.3">
      <c r="A9" s="2" t="s">
        <v>103</v>
      </c>
      <c r="B9" s="376">
        <f>SUM('7. Program Summary'!B10,'7. Program Summary'!B14,'7. Program Summary'!B18,'7. Program Summary'!B22,'7. Program Summary'!B26,'7. Program Summary'!B30,'7. Program Summary'!B34,'7. Program Summary'!B42,'7. Program Summary'!B46)</f>
        <v>21702.331943999998</v>
      </c>
      <c r="C9" s="398">
        <v>27401.909872</v>
      </c>
      <c r="D9" s="377">
        <f>+C9-B9</f>
        <v>5699.5779280000024</v>
      </c>
      <c r="E9" s="361">
        <f>(C9-B9)/B9</f>
        <v>0.26262513828960921</v>
      </c>
      <c r="F9" s="393">
        <v>27421.202776000002</v>
      </c>
      <c r="G9" s="378">
        <f>+F9-B9</f>
        <v>5718.8708320000042</v>
      </c>
      <c r="H9" s="394">
        <f>(F9-B9)/B9</f>
        <v>0.26351411667450281</v>
      </c>
      <c r="I9" s="386">
        <v>26393.666183000001</v>
      </c>
      <c r="J9" s="379">
        <f>+I9-B9</f>
        <v>4691.3342390000034</v>
      </c>
      <c r="K9" s="387">
        <f>(I9-B9)/B9</f>
        <v>0.21616728797188117</v>
      </c>
    </row>
    <row r="10" spans="1:11" x14ac:dyDescent="0.3">
      <c r="A10" s="2" t="s">
        <v>114</v>
      </c>
      <c r="B10" s="376">
        <f>+'7. Program Summary'!B49+'7. Program Summary'!B64</f>
        <v>46914.946607999998</v>
      </c>
      <c r="C10" s="398">
        <v>43643.389048000005</v>
      </c>
      <c r="D10" s="377">
        <f t="shared" ref="D10" si="0">+C10-B10</f>
        <v>-3271.5575599999938</v>
      </c>
      <c r="E10" s="361">
        <f>(C10-B10)/B10</f>
        <v>-6.9733801198488918E-2</v>
      </c>
      <c r="F10" s="393">
        <v>45964.404471999995</v>
      </c>
      <c r="G10" s="378">
        <f t="shared" ref="G10:G11" si="1">+F10-B10</f>
        <v>-950.54213600000367</v>
      </c>
      <c r="H10" s="394">
        <f t="shared" ref="H10" si="2">(F10-B10)/B10</f>
        <v>-2.0260965954886453E-2</v>
      </c>
      <c r="I10" s="386">
        <v>43143.871352000002</v>
      </c>
      <c r="J10" s="379">
        <f>+I10-B10</f>
        <v>-3771.0752559999964</v>
      </c>
      <c r="K10" s="387">
        <f>(I10-B10)/B10</f>
        <v>-8.0381105141382553E-2</v>
      </c>
    </row>
    <row r="11" spans="1:11" ht="13.5" thickBot="1" x14ac:dyDescent="0.35">
      <c r="A11" s="6" t="s">
        <v>115</v>
      </c>
      <c r="B11" s="380">
        <f>(B9-B10)</f>
        <v>-25212.614664000001</v>
      </c>
      <c r="C11" s="399">
        <f>(C9-C10)</f>
        <v>-16241.479176000004</v>
      </c>
      <c r="D11" s="381">
        <f>+C11-B11</f>
        <v>8971.1354879999963</v>
      </c>
      <c r="E11" s="400" t="s">
        <v>32</v>
      </c>
      <c r="F11" s="395">
        <v>-18543.201695999993</v>
      </c>
      <c r="G11" s="382">
        <f t="shared" si="1"/>
        <v>6669.4129680000078</v>
      </c>
      <c r="H11" s="396" t="s">
        <v>32</v>
      </c>
      <c r="I11" s="388">
        <v>-16750.205169000001</v>
      </c>
      <c r="J11" s="383">
        <f>+I11-B11</f>
        <v>8462.4094949999999</v>
      </c>
      <c r="K11" s="389" t="s">
        <v>32</v>
      </c>
    </row>
    <row r="12" spans="1:11" ht="15.75" customHeight="1" x14ac:dyDescent="0.3">
      <c r="A12" s="459" t="s">
        <v>76</v>
      </c>
      <c r="B12" s="448"/>
      <c r="C12" s="448"/>
      <c r="D12" s="448"/>
      <c r="E12" s="448"/>
    </row>
    <row r="13" spans="1:11" ht="53.25" customHeight="1" x14ac:dyDescent="0.3">
      <c r="A13" s="448" t="s">
        <v>128</v>
      </c>
      <c r="B13" s="448"/>
      <c r="C13" s="448"/>
      <c r="D13" s="448"/>
      <c r="E13" s="448"/>
    </row>
    <row r="14" spans="1:11" ht="53.15" customHeight="1" x14ac:dyDescent="0.3">
      <c r="A14" s="448" t="s">
        <v>120</v>
      </c>
      <c r="B14" s="448"/>
      <c r="C14" s="448"/>
      <c r="D14" s="448"/>
      <c r="E14" s="448"/>
    </row>
  </sheetData>
  <mergeCells count="8">
    <mergeCell ref="I6:K6"/>
    <mergeCell ref="F6:H6"/>
    <mergeCell ref="A2:E2"/>
    <mergeCell ref="A14:E14"/>
    <mergeCell ref="C6:E6"/>
    <mergeCell ref="A13:E13"/>
    <mergeCell ref="A12:E12"/>
    <mergeCell ref="A3:E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9C858E70AFD24CBF2FF66F65924E42" ma:contentTypeVersion="13" ma:contentTypeDescription="Create a new document." ma:contentTypeScope="" ma:versionID="74bc2eea08205fdb6dfed0e8eca65dc8">
  <xsd:schema xmlns:xsd="http://www.w3.org/2001/XMLSchema" xmlns:xs="http://www.w3.org/2001/XMLSchema" xmlns:p="http://schemas.microsoft.com/office/2006/metadata/properties" xmlns:ns2="bdeec54c-cf22-4a9e-a598-b7d9fcbc43c7" xmlns:ns3="59951468-e0c9-43f7-849b-568c90711787" targetNamespace="http://schemas.microsoft.com/office/2006/metadata/properties" ma:root="true" ma:fieldsID="735bea10e1552479922e157144709c4c" ns2:_="" ns3:_="">
    <xsd:import namespace="bdeec54c-cf22-4a9e-a598-b7d9fcbc43c7"/>
    <xsd:import namespace="59951468-e0c9-43f7-849b-568c90711787"/>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eec54c-cf22-4a9e-a598-b7d9fcbc4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51468-e0c9-43f7-849b-568c907117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DB12B-0630-496B-A13D-ED2FD7EEAAF3}">
  <ds:schemaRefs>
    <ds:schemaRef ds:uri="http://schemas.microsoft.com/sharepoint/v3/contenttype/forms"/>
  </ds:schemaRefs>
</ds:datastoreItem>
</file>

<file path=customXml/itemProps2.xml><?xml version="1.0" encoding="utf-8"?>
<ds:datastoreItem xmlns:ds="http://schemas.openxmlformats.org/officeDocument/2006/customXml" ds:itemID="{A599B214-2F9A-4CA6-8153-7367181FF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eec54c-cf22-4a9e-a598-b7d9fcbc43c7"/>
    <ds:schemaRef ds:uri="59951468-e0c9-43f7-849b-568c90711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Overview</vt:lpstr>
      <vt:lpstr>1. SPM Summary</vt:lpstr>
      <vt:lpstr>2. Poverty_Individuals_No</vt:lpstr>
      <vt:lpstr>3. Individuals Race</vt:lpstr>
      <vt:lpstr>4. Poverty_Families_No</vt:lpstr>
      <vt:lpstr>5. Household Resources</vt:lpstr>
      <vt:lpstr>7. Program Summary</vt:lpstr>
      <vt:lpstr>8. Costs</vt:lpstr>
    </vt:vector>
  </TitlesOfParts>
  <Company>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CPRAC Meeting -Selected Packages Overview and Details - November 19, 2024</dc:title>
  <dc:creator>New York State Council Child Poverty Reduction Advisory Council </dc:creator>
  <cp:lastModifiedBy>Albini, Daria (OTDA)</cp:lastModifiedBy>
  <cp:lastPrinted>2024-09-16T19:32:53Z</cp:lastPrinted>
  <dcterms:created xsi:type="dcterms:W3CDTF">2023-01-09T17:55:27Z</dcterms:created>
  <dcterms:modified xsi:type="dcterms:W3CDTF">2024-11-07T18:10:42Z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